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vsd" ContentType="application/vnd.visio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en\Proj\NCV97200\Design aids\"/>
    </mc:Choice>
  </mc:AlternateContent>
  <bookViews>
    <workbookView xWindow="240" yWindow="195" windowWidth="17265" windowHeight="7875" tabRatio="654"/>
  </bookViews>
  <sheets>
    <sheet name="NCV97200 Worst case" sheetId="9" r:id="rId1"/>
    <sheet name="NCV97200 Typical" sheetId="10" r:id="rId2"/>
  </sheets>
  <calcPr calcId="152511"/>
</workbook>
</file>

<file path=xl/calcChain.xml><?xml version="1.0" encoding="utf-8"?>
<calcChain xmlns="http://schemas.openxmlformats.org/spreadsheetml/2006/main">
  <c r="F31" i="10" l="1"/>
  <c r="F27" i="10"/>
  <c r="F30" i="10" s="1"/>
  <c r="B27" i="10"/>
  <c r="B15" i="10"/>
  <c r="F14" i="10"/>
  <c r="F12" i="10"/>
  <c r="B12" i="10"/>
  <c r="F31" i="9"/>
  <c r="F27" i="9"/>
  <c r="F30" i="9" s="1"/>
  <c r="B27" i="9"/>
  <c r="F24" i="9" s="1"/>
  <c r="F32" i="9" s="1"/>
  <c r="B15" i="9"/>
  <c r="F14" i="9"/>
  <c r="F12" i="9"/>
  <c r="B12" i="9"/>
  <c r="H28" i="9" l="1"/>
  <c r="H34" i="9" s="1"/>
  <c r="H28" i="10"/>
  <c r="H34" i="10" s="1"/>
  <c r="F24" i="10"/>
  <c r="F29" i="9" l="1"/>
  <c r="F33" i="9" s="1"/>
  <c r="F34" i="9" s="1"/>
  <c r="H31" i="9"/>
  <c r="F28" i="9" s="1"/>
  <c r="H31" i="10"/>
  <c r="F28" i="10" s="1"/>
  <c r="F32" i="10"/>
  <c r="F29" i="10"/>
  <c r="F33" i="10" s="1"/>
  <c r="F34" i="10" s="1"/>
  <c r="F35" i="9" l="1"/>
  <c r="B9" i="9" s="1"/>
  <c r="F35" i="10"/>
  <c r="B9" i="10" s="1"/>
  <c r="B17" i="10" l="1"/>
  <c r="F11" i="10"/>
  <c r="B17" i="9"/>
  <c r="F11" i="9"/>
  <c r="F5" i="10" l="1"/>
  <c r="H8" i="10"/>
  <c r="H8" i="9"/>
  <c r="F5" i="9"/>
  <c r="H14" i="10" l="1"/>
  <c r="H11" i="10"/>
  <c r="F9" i="10" s="1"/>
  <c r="F10" i="10"/>
  <c r="F16" i="10" s="1"/>
  <c r="F13" i="10"/>
  <c r="F13" i="9"/>
  <c r="F10" i="9"/>
  <c r="F16" i="9" s="1"/>
  <c r="H14" i="9"/>
  <c r="H11" i="9"/>
  <c r="F9" i="9" s="1"/>
  <c r="F2" i="9" l="1"/>
  <c r="N2" i="9" s="1"/>
  <c r="O2" i="9" s="1"/>
  <c r="F19" i="9"/>
  <c r="H3" i="9" s="1"/>
  <c r="F2" i="10"/>
  <c r="N2" i="10" s="1"/>
  <c r="O2" i="10" s="1"/>
  <c r="F19" i="10"/>
  <c r="H3" i="10" s="1"/>
</calcChain>
</file>

<file path=xl/comments1.xml><?xml version="1.0" encoding="utf-8"?>
<comments xmlns="http://schemas.openxmlformats.org/spreadsheetml/2006/main">
  <authors>
    <author>Matt Majeika</author>
  </authors>
  <commentList>
    <comment ref="L1" authorId="0" shapeId="0">
      <text>
        <r>
          <rPr>
            <sz val="9"/>
            <color indexed="81"/>
            <rFont val="Tahoma"/>
            <family val="2"/>
          </rPr>
          <t>Thermal resistance of the package</t>
        </r>
      </text>
    </comment>
    <comment ref="N1" authorId="0" shapeId="0">
      <text>
        <r>
          <rPr>
            <sz val="9"/>
            <color indexed="81"/>
            <rFont val="Tahoma"/>
            <family val="2"/>
          </rPr>
          <t>Temperature rise in the die due to the power dissipation losses</t>
        </r>
      </text>
    </comment>
    <comment ref="O1" authorId="0" shapeId="0">
      <text>
        <r>
          <rPr>
            <sz val="9"/>
            <color indexed="81"/>
            <rFont val="Tahoma"/>
            <family val="2"/>
          </rPr>
          <t>Maximum ambient temperature based on minimum TSD specification of 150</t>
        </r>
        <r>
          <rPr>
            <sz val="9"/>
            <color indexed="81"/>
            <rFont val="Calibri"/>
            <family val="2"/>
          </rPr>
          <t>°</t>
        </r>
        <r>
          <rPr>
            <sz val="9"/>
            <color indexed="81"/>
            <rFont val="Tahoma"/>
            <family val="2"/>
          </rPr>
          <t>C</t>
        </r>
      </text>
    </comment>
    <comment ref="G2" authorId="0" shapeId="0">
      <text>
        <r>
          <rPr>
            <b/>
            <sz val="9"/>
            <color indexed="81"/>
            <rFont val="Tahoma"/>
            <family val="2"/>
          </rPr>
          <t>Matt Majeika:</t>
        </r>
        <r>
          <rPr>
            <sz val="9"/>
            <color indexed="81"/>
            <rFont val="Tahoma"/>
            <family val="2"/>
          </rPr>
          <t xml:space="preserve">
Total power dissipation in the IC</t>
        </r>
      </text>
    </comment>
    <comment ref="G7" authorId="0" shapeId="0">
      <text>
        <r>
          <rPr>
            <b/>
            <sz val="9"/>
            <color indexed="81"/>
            <rFont val="Tahoma"/>
            <family val="2"/>
          </rPr>
          <t>Matt Majeika:</t>
        </r>
        <r>
          <rPr>
            <sz val="9"/>
            <color indexed="81"/>
            <rFont val="Tahoma"/>
            <family val="2"/>
          </rPr>
          <t xml:space="preserve">
DCR of the output inductor</t>
        </r>
      </text>
    </comment>
    <comment ref="G16" authorId="0" shapeId="0">
      <text>
        <r>
          <rPr>
            <sz val="9"/>
            <color indexed="81"/>
            <rFont val="Tahoma"/>
            <family val="2"/>
          </rPr>
          <t>Thermally, Total Ploss for SW1 is the sum of SMPS losses, Vdrive1 losses, and Iq losses</t>
        </r>
      </text>
    </comment>
    <comment ref="G26" authorId="0" shapeId="0">
      <text>
        <r>
          <rPr>
            <b/>
            <sz val="9"/>
            <color indexed="81"/>
            <rFont val="Tahoma"/>
            <family val="2"/>
          </rPr>
          <t>Matt Majeika:</t>
        </r>
        <r>
          <rPr>
            <sz val="9"/>
            <color indexed="81"/>
            <rFont val="Tahoma"/>
            <family val="2"/>
          </rPr>
          <t xml:space="preserve">
DCR of the output inductor</t>
        </r>
      </text>
    </comment>
    <comment ref="G33" authorId="0" shapeId="0">
      <text>
        <r>
          <rPr>
            <sz val="9"/>
            <color indexed="81"/>
            <rFont val="Tahoma"/>
            <family val="2"/>
          </rPr>
          <t>SMPS losses, including conduction losses, switching losses, and Iq losses</t>
        </r>
      </text>
    </comment>
  </commentList>
</comments>
</file>

<file path=xl/comments2.xml><?xml version="1.0" encoding="utf-8"?>
<comments xmlns="http://schemas.openxmlformats.org/spreadsheetml/2006/main">
  <authors>
    <author>Matt Majeika</author>
  </authors>
  <commentList>
    <comment ref="L1" authorId="0" shapeId="0">
      <text>
        <r>
          <rPr>
            <sz val="9"/>
            <color indexed="81"/>
            <rFont val="Tahoma"/>
            <family val="2"/>
          </rPr>
          <t>Thermal resistance of the package</t>
        </r>
      </text>
    </comment>
    <comment ref="N1" authorId="0" shapeId="0">
      <text>
        <r>
          <rPr>
            <sz val="9"/>
            <color indexed="81"/>
            <rFont val="Tahoma"/>
            <family val="2"/>
          </rPr>
          <t>Temperature rise in the die due to the power dissipation losses</t>
        </r>
      </text>
    </comment>
    <comment ref="O1" authorId="0" shapeId="0">
      <text>
        <r>
          <rPr>
            <sz val="9"/>
            <color indexed="81"/>
            <rFont val="Tahoma"/>
            <family val="2"/>
          </rPr>
          <t>Maximum ambient temperature based on minimum TSD specification of 150</t>
        </r>
        <r>
          <rPr>
            <sz val="9"/>
            <color indexed="81"/>
            <rFont val="Calibri"/>
            <family val="2"/>
          </rPr>
          <t>°</t>
        </r>
        <r>
          <rPr>
            <sz val="9"/>
            <color indexed="81"/>
            <rFont val="Tahoma"/>
            <family val="2"/>
          </rPr>
          <t>C</t>
        </r>
      </text>
    </comment>
    <comment ref="G2" authorId="0" shapeId="0">
      <text>
        <r>
          <rPr>
            <b/>
            <sz val="9"/>
            <color indexed="81"/>
            <rFont val="Tahoma"/>
            <family val="2"/>
          </rPr>
          <t>Matt Majeika:</t>
        </r>
        <r>
          <rPr>
            <sz val="9"/>
            <color indexed="81"/>
            <rFont val="Tahoma"/>
            <family val="2"/>
          </rPr>
          <t xml:space="preserve">
Total power dissipation in the IC</t>
        </r>
      </text>
    </comment>
    <comment ref="G7" authorId="0" shapeId="0">
      <text>
        <r>
          <rPr>
            <b/>
            <sz val="9"/>
            <color indexed="81"/>
            <rFont val="Tahoma"/>
            <family val="2"/>
          </rPr>
          <t>Matt Majeika:</t>
        </r>
        <r>
          <rPr>
            <sz val="9"/>
            <color indexed="81"/>
            <rFont val="Tahoma"/>
            <family val="2"/>
          </rPr>
          <t xml:space="preserve">
DCR of the output inductor</t>
        </r>
      </text>
    </comment>
    <comment ref="G16" authorId="0" shapeId="0">
      <text>
        <r>
          <rPr>
            <sz val="9"/>
            <color indexed="81"/>
            <rFont val="Tahoma"/>
            <family val="2"/>
          </rPr>
          <t>Thermally, Total Ploss for SW1 is the sum of SMPS losses, Vdrive1 losses, and Iq losses</t>
        </r>
      </text>
    </comment>
    <comment ref="G26" authorId="0" shapeId="0">
      <text>
        <r>
          <rPr>
            <b/>
            <sz val="9"/>
            <color indexed="81"/>
            <rFont val="Tahoma"/>
            <family val="2"/>
          </rPr>
          <t>Matt Majeika:</t>
        </r>
        <r>
          <rPr>
            <sz val="9"/>
            <color indexed="81"/>
            <rFont val="Tahoma"/>
            <family val="2"/>
          </rPr>
          <t xml:space="preserve">
DCR of the output inductor</t>
        </r>
      </text>
    </comment>
    <comment ref="G33" authorId="0" shapeId="0">
      <text>
        <r>
          <rPr>
            <sz val="9"/>
            <color indexed="81"/>
            <rFont val="Tahoma"/>
            <family val="2"/>
          </rPr>
          <t>SMPS losses, including conduction losses, switching losses, and Iq losses</t>
        </r>
      </text>
    </comment>
  </commentList>
</comments>
</file>

<file path=xl/sharedStrings.xml><?xml version="1.0" encoding="utf-8"?>
<sst xmlns="http://schemas.openxmlformats.org/spreadsheetml/2006/main" count="202" uniqueCount="53">
  <si>
    <t>VBAT</t>
  </si>
  <si>
    <t>V</t>
  </si>
  <si>
    <t>W</t>
  </si>
  <si>
    <t>A</t>
  </si>
  <si>
    <t>D</t>
  </si>
  <si>
    <t>RdsonHS</t>
  </si>
  <si>
    <t>ton</t>
  </si>
  <si>
    <t>toff</t>
  </si>
  <si>
    <t>fsw</t>
  </si>
  <si>
    <t>Iq</t>
  </si>
  <si>
    <t>Vdiode</t>
  </si>
  <si>
    <t>Ω</t>
  </si>
  <si>
    <t>Idrive</t>
  </si>
  <si>
    <t>Psw</t>
  </si>
  <si>
    <t>Pcon</t>
  </si>
  <si>
    <t>Piq</t>
  </si>
  <si>
    <t>Pdiode</t>
  </si>
  <si>
    <t>VIN2</t>
  </si>
  <si>
    <t>DCR</t>
  </si>
  <si>
    <t>RdsonSW</t>
  </si>
  <si>
    <t>°C/W</t>
  </si>
  <si>
    <t>Package</t>
  </si>
  <si>
    <r>
      <t>R</t>
    </r>
    <r>
      <rPr>
        <u/>
        <sz val="11"/>
        <color theme="1"/>
        <rFont val="Calibri"/>
        <family val="2"/>
      </rPr>
      <t>θJA</t>
    </r>
  </si>
  <si>
    <t>Power Loss for Switcher 1 [Battery-Connected Non-Synchronous Buck]</t>
  </si>
  <si>
    <r>
      <t>Max T (</t>
    </r>
    <r>
      <rPr>
        <b/>
        <u/>
        <sz val="11"/>
        <color theme="1"/>
        <rFont val="Calibri"/>
        <family val="2"/>
      </rPr>
      <t xml:space="preserve">°C </t>
    </r>
    <r>
      <rPr>
        <b/>
        <u/>
        <sz val="11"/>
        <color theme="1"/>
        <rFont val="Calibri"/>
        <family val="2"/>
        <scheme val="minor"/>
      </rPr>
      <t>ambient)</t>
    </r>
  </si>
  <si>
    <r>
      <t>T (</t>
    </r>
    <r>
      <rPr>
        <b/>
        <u/>
        <sz val="11"/>
        <color theme="1"/>
        <rFont val="Calibri"/>
        <family val="2"/>
      </rPr>
      <t xml:space="preserve">°C </t>
    </r>
    <r>
      <rPr>
        <b/>
        <u/>
        <sz val="11"/>
        <color theme="1"/>
        <rFont val="Calibri"/>
        <family val="2"/>
        <scheme val="minor"/>
      </rPr>
      <t>rise)</t>
    </r>
  </si>
  <si>
    <t>kHz</t>
  </si>
  <si>
    <t>ns</t>
  </si>
  <si>
    <t>Pind</t>
  </si>
  <si>
    <t>Idrive2,3,4</t>
  </si>
  <si>
    <t>Inductor</t>
  </si>
  <si>
    <t>uH</t>
  </si>
  <si>
    <t>I Inductor Peak (A)</t>
  </si>
  <si>
    <t>I Inductor RMS (A)</t>
  </si>
  <si>
    <t>IOUT2 (Vout2)</t>
  </si>
  <si>
    <t>Pdiss - SMPS</t>
  </si>
  <si>
    <t>Pdiss - Vdrive1</t>
  </si>
  <si>
    <t xml:space="preserve">Total Internal Dissipation: </t>
  </si>
  <si>
    <t>Internal SW2 dissipation</t>
  </si>
  <si>
    <t>Internal SW1 dissipation</t>
  </si>
  <si>
    <t>Total VOUT1 Load</t>
  </si>
  <si>
    <t>VOUT1 Direct Load</t>
  </si>
  <si>
    <t>NRVB440MFS recommended</t>
  </si>
  <si>
    <t>Total Input Power</t>
  </si>
  <si>
    <t>Efficiency</t>
  </si>
  <si>
    <t>ON Semiconductor Confidential Information</t>
  </si>
  <si>
    <t>I Inductor p-p (A)</t>
  </si>
  <si>
    <t>NCV97200 Thermal Capability Tool</t>
  </si>
  <si>
    <t>QFN 4x4 mm</t>
  </si>
  <si>
    <t>Power Loss for Switcher 2 [Downstream Non-Synchronous Boost]</t>
  </si>
  <si>
    <t>Total SW2 Input Power</t>
  </si>
  <si>
    <t>Worst Case</t>
  </si>
  <si>
    <t>Typical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</si>
</sst>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%"/>
    <numFmt numFmtId="166" formatCode="0.000"/>
    <numFmt numFmtId="167" formatCode="0.000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"/>
      <name val="Calibri"/>
      <family val="2"/>
      <scheme val="minor"/>
    </font>
    <font>
      <u/>
      <sz val="11"/>
      <color theme="1"/>
      <name val="Calibri"/>
      <family val="2"/>
    </font>
    <font>
      <b/>
      <u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Calibri"/>
      <family val="2"/>
    </font>
    <font>
      <b/>
      <u/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sz val="11"/>
      <color theme="4" tint="0.39997558519241921"/>
      <name val="Calibri"/>
      <family val="2"/>
      <scheme val="minor"/>
    </font>
    <font>
      <sz val="11"/>
      <color theme="7" tint="0.39997558519241921"/>
      <name val="Calibri"/>
      <family val="2"/>
      <scheme val="minor"/>
    </font>
    <font>
      <sz val="11"/>
      <color theme="7" tint="0.39997558519241921"/>
      <name val="Calibri"/>
      <family val="2"/>
    </font>
    <font>
      <sz val="11"/>
      <color theme="5" tint="0.39997558519241921"/>
      <name val="Calibri"/>
      <family val="2"/>
      <scheme val="minor"/>
    </font>
    <font>
      <sz val="11"/>
      <color theme="5" tint="0.39997558519241921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0" tint="-0.34998626667073579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118">
    <xf numFmtId="0" fontId="0" fillId="0" borderId="0" xfId="0"/>
    <xf numFmtId="0" fontId="0" fillId="0" borderId="0" xfId="0" applyNumberFormat="1"/>
    <xf numFmtId="2" fontId="0" fillId="0" borderId="0" xfId="0" applyNumberFormat="1"/>
    <xf numFmtId="0" fontId="0" fillId="0" borderId="0" xfId="0" applyAlignment="1">
      <alignment horizontal="right"/>
    </xf>
    <xf numFmtId="0" fontId="0" fillId="0" borderId="9" xfId="0" applyBorder="1" applyAlignment="1"/>
    <xf numFmtId="0" fontId="0" fillId="0" borderId="0" xfId="0" applyAlignment="1"/>
    <xf numFmtId="166" fontId="0" fillId="0" borderId="0" xfId="0" applyNumberFormat="1"/>
    <xf numFmtId="2" fontId="0" fillId="6" borderId="0" xfId="0" applyNumberFormat="1" applyFill="1"/>
    <xf numFmtId="0" fontId="0" fillId="6" borderId="0" xfId="0" applyFill="1"/>
    <xf numFmtId="0" fontId="0" fillId="6" borderId="0" xfId="0" applyNumberFormat="1" applyFill="1"/>
    <xf numFmtId="0" fontId="5" fillId="5" borderId="4" xfId="0" applyFont="1" applyFill="1" applyBorder="1" applyAlignment="1">
      <alignment horizontal="center"/>
    </xf>
    <xf numFmtId="0" fontId="1" fillId="2" borderId="0" xfId="0" applyFont="1" applyFill="1" applyAlignment="1" applyProtection="1"/>
    <xf numFmtId="0" fontId="0" fillId="6" borderId="0" xfId="0" applyNumberFormat="1" applyFill="1" applyProtection="1"/>
    <xf numFmtId="0" fontId="0" fillId="6" borderId="0" xfId="0" applyFill="1" applyProtection="1"/>
    <xf numFmtId="2" fontId="0" fillId="6" borderId="0" xfId="0" applyNumberFormat="1" applyFill="1" applyProtection="1"/>
    <xf numFmtId="0" fontId="0" fillId="0" borderId="0" xfId="0" applyProtection="1">
      <protection locked="0"/>
    </xf>
    <xf numFmtId="0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166" fontId="0" fillId="0" borderId="0" xfId="0" applyNumberForma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3" borderId="0" xfId="0" applyFill="1" applyProtection="1"/>
    <xf numFmtId="0" fontId="0" fillId="6" borderId="0" xfId="0" applyFill="1" applyAlignment="1" applyProtection="1">
      <alignment horizontal="right"/>
    </xf>
    <xf numFmtId="0" fontId="0" fillId="6" borderId="16" xfId="0" applyFill="1" applyBorder="1" applyAlignment="1" applyProtection="1">
      <alignment horizontal="right"/>
    </xf>
    <xf numFmtId="2" fontId="0" fillId="6" borderId="17" xfId="0" applyNumberFormat="1" applyFill="1" applyBorder="1" applyProtection="1"/>
    <xf numFmtId="0" fontId="0" fillId="6" borderId="18" xfId="0" applyFill="1" applyBorder="1" applyProtection="1"/>
    <xf numFmtId="2" fontId="0" fillId="6" borderId="0" xfId="0" applyNumberFormat="1" applyFill="1" applyBorder="1" applyProtection="1"/>
    <xf numFmtId="0" fontId="0" fillId="6" borderId="15" xfId="0" applyFill="1" applyBorder="1" applyProtection="1"/>
    <xf numFmtId="0" fontId="3" fillId="5" borderId="3" xfId="0" applyFont="1" applyFill="1" applyBorder="1" applyAlignment="1">
      <alignment horizontal="right"/>
    </xf>
    <xf numFmtId="0" fontId="0" fillId="0" borderId="0" xfId="0" applyFill="1" applyAlignment="1" applyProtection="1">
      <alignment horizontal="right"/>
    </xf>
    <xf numFmtId="0" fontId="0" fillId="0" borderId="0" xfId="0" applyFill="1" applyProtection="1"/>
    <xf numFmtId="0" fontId="0" fillId="0" borderId="0" xfId="0" applyNumberFormat="1" applyFill="1" applyProtection="1"/>
    <xf numFmtId="167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164" fontId="0" fillId="0" borderId="0" xfId="0" applyNumberFormat="1" applyProtection="1">
      <protection locked="0"/>
    </xf>
    <xf numFmtId="164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right"/>
      <protection locked="0"/>
    </xf>
    <xf numFmtId="164" fontId="0" fillId="0" borderId="0" xfId="0" applyNumberFormat="1"/>
    <xf numFmtId="0" fontId="0" fillId="6" borderId="2" xfId="0" applyFill="1" applyBorder="1" applyProtection="1"/>
    <xf numFmtId="166" fontId="0" fillId="6" borderId="0" xfId="0" applyNumberFormat="1" applyFill="1" applyProtection="1"/>
    <xf numFmtId="0" fontId="16" fillId="6" borderId="0" xfId="0" applyFont="1" applyFill="1" applyAlignment="1" applyProtection="1">
      <alignment horizontal="right"/>
    </xf>
    <xf numFmtId="0" fontId="16" fillId="6" borderId="5" xfId="0" applyFont="1" applyFill="1" applyBorder="1" applyProtection="1"/>
    <xf numFmtId="166" fontId="0" fillId="6" borderId="1" xfId="0" applyNumberFormat="1" applyFill="1" applyBorder="1" applyProtection="1">
      <protection locked="0"/>
    </xf>
    <xf numFmtId="0" fontId="2" fillId="6" borderId="2" xfId="0" applyFont="1" applyFill="1" applyBorder="1" applyProtection="1"/>
    <xf numFmtId="0" fontId="0" fillId="6" borderId="14" xfId="0" applyFill="1" applyBorder="1" applyAlignment="1" applyProtection="1">
      <alignment horizontal="right"/>
    </xf>
    <xf numFmtId="0" fontId="14" fillId="6" borderId="0" xfId="0" applyFont="1" applyFill="1" applyAlignment="1" applyProtection="1">
      <alignment horizontal="right"/>
    </xf>
    <xf numFmtId="2" fontId="14" fillId="6" borderId="0" xfId="0" applyNumberFormat="1" applyFont="1" applyFill="1" applyProtection="1"/>
    <xf numFmtId="0" fontId="14" fillId="6" borderId="0" xfId="0" applyFont="1" applyFill="1" applyProtection="1"/>
    <xf numFmtId="166" fontId="14" fillId="6" borderId="0" xfId="0" applyNumberFormat="1" applyFont="1" applyFill="1" applyProtection="1"/>
    <xf numFmtId="0" fontId="15" fillId="6" borderId="0" xfId="0" applyFont="1" applyFill="1" applyProtection="1"/>
    <xf numFmtId="0" fontId="14" fillId="6" borderId="0" xfId="0" applyNumberFormat="1" applyFont="1" applyFill="1" applyProtection="1"/>
    <xf numFmtId="0" fontId="0" fillId="6" borderId="0" xfId="0" applyNumberFormat="1" applyFill="1" applyBorder="1" applyProtection="1"/>
    <xf numFmtId="0" fontId="0" fillId="6" borderId="0" xfId="0" applyFill="1" applyBorder="1" applyProtection="1"/>
    <xf numFmtId="2" fontId="1" fillId="6" borderId="0" xfId="0" applyNumberFormat="1" applyFont="1" applyFill="1" applyBorder="1" applyProtection="1"/>
    <xf numFmtId="0" fontId="1" fillId="6" borderId="15" xfId="0" applyFont="1" applyFill="1" applyBorder="1" applyProtection="1"/>
    <xf numFmtId="0" fontId="11" fillId="7" borderId="0" xfId="0" applyFont="1" applyFill="1" applyBorder="1" applyAlignment="1" applyProtection="1">
      <alignment horizontal="right"/>
    </xf>
    <xf numFmtId="0" fontId="11" fillId="7" borderId="0" xfId="0" applyNumberFormat="1" applyFont="1" applyFill="1" applyBorder="1" applyProtection="1"/>
    <xf numFmtId="0" fontId="11" fillId="7" borderId="0" xfId="0" applyFont="1" applyFill="1" applyBorder="1" applyProtection="1"/>
    <xf numFmtId="0" fontId="0" fillId="7" borderId="0" xfId="0" applyFill="1" applyProtection="1"/>
    <xf numFmtId="0" fontId="0" fillId="7" borderId="0" xfId="0" applyFill="1" applyAlignment="1" applyProtection="1">
      <alignment horizontal="right"/>
    </xf>
    <xf numFmtId="166" fontId="0" fillId="7" borderId="0" xfId="0" applyNumberFormat="1" applyFill="1" applyProtection="1"/>
    <xf numFmtId="0" fontId="12" fillId="7" borderId="0" xfId="0" applyFont="1" applyFill="1" applyProtection="1"/>
    <xf numFmtId="166" fontId="0" fillId="7" borderId="1" xfId="0" applyNumberFormat="1" applyFill="1" applyBorder="1" applyProtection="1">
      <protection locked="0"/>
    </xf>
    <xf numFmtId="0" fontId="0" fillId="7" borderId="2" xfId="0" applyFill="1" applyBorder="1" applyProtection="1"/>
    <xf numFmtId="0" fontId="16" fillId="7" borderId="0" xfId="0" applyFont="1" applyFill="1" applyAlignment="1" applyProtection="1">
      <alignment horizontal="right"/>
    </xf>
    <xf numFmtId="0" fontId="16" fillId="7" borderId="2" xfId="0" applyFont="1" applyFill="1" applyBorder="1" applyProtection="1"/>
    <xf numFmtId="0" fontId="10" fillId="7" borderId="0" xfId="0" applyFont="1" applyFill="1" applyAlignment="1" applyProtection="1"/>
    <xf numFmtId="0" fontId="0" fillId="7" borderId="0" xfId="0" applyFill="1" applyBorder="1" applyAlignment="1" applyProtection="1">
      <alignment horizontal="right"/>
    </xf>
    <xf numFmtId="0" fontId="2" fillId="7" borderId="2" xfId="0" applyFont="1" applyFill="1" applyBorder="1" applyProtection="1"/>
    <xf numFmtId="0" fontId="12" fillId="7" borderId="0" xfId="0" applyFont="1" applyFill="1" applyAlignment="1" applyProtection="1">
      <alignment horizontal="right"/>
    </xf>
    <xf numFmtId="0" fontId="12" fillId="7" borderId="0" xfId="0" applyNumberFormat="1" applyFont="1" applyFill="1" applyProtection="1"/>
    <xf numFmtId="0" fontId="13" fillId="7" borderId="0" xfId="0" applyFont="1" applyFill="1" applyProtection="1"/>
    <xf numFmtId="0" fontId="11" fillId="7" borderId="0" xfId="0" applyFont="1" applyFill="1" applyAlignment="1" applyProtection="1">
      <alignment horizontal="right"/>
    </xf>
    <xf numFmtId="166" fontId="11" fillId="7" borderId="0" xfId="0" applyNumberFormat="1" applyFont="1" applyFill="1" applyProtection="1"/>
    <xf numFmtId="0" fontId="11" fillId="7" borderId="0" xfId="0" applyFont="1" applyFill="1" applyProtection="1"/>
    <xf numFmtId="0" fontId="0" fillId="7" borderId="0" xfId="0" applyNumberFormat="1" applyFill="1" applyProtection="1"/>
    <xf numFmtId="0" fontId="0" fillId="7" borderId="0" xfId="0" applyFill="1"/>
    <xf numFmtId="0" fontId="11" fillId="7" borderId="0" xfId="0" applyNumberFormat="1" applyFont="1" applyFill="1" applyProtection="1"/>
    <xf numFmtId="0" fontId="0" fillId="7" borderId="1" xfId="0" applyNumberFormat="1" applyFill="1" applyBorder="1" applyProtection="1">
      <protection locked="0"/>
    </xf>
    <xf numFmtId="0" fontId="0" fillId="7" borderId="0" xfId="0" applyNumberFormat="1" applyFill="1"/>
    <xf numFmtId="0" fontId="1" fillId="7" borderId="0" xfId="0" applyFont="1" applyFill="1" applyAlignment="1" applyProtection="1">
      <alignment horizontal="right"/>
    </xf>
    <xf numFmtId="166" fontId="1" fillId="7" borderId="0" xfId="0" applyNumberFormat="1" applyFont="1" applyFill="1" applyProtection="1"/>
    <xf numFmtId="0" fontId="1" fillId="7" borderId="0" xfId="0" applyFont="1" applyFill="1" applyProtection="1"/>
    <xf numFmtId="0" fontId="0" fillId="8" borderId="0" xfId="0" applyFill="1" applyBorder="1" applyAlignment="1" applyProtection="1">
      <alignment horizontal="right"/>
    </xf>
    <xf numFmtId="0" fontId="0" fillId="8" borderId="2" xfId="0" applyFill="1" applyBorder="1" applyProtection="1"/>
    <xf numFmtId="0" fontId="0" fillId="5" borderId="6" xfId="0" applyFill="1" applyBorder="1" applyAlignment="1">
      <alignment horizontal="right"/>
    </xf>
    <xf numFmtId="0" fontId="0" fillId="5" borderId="7" xfId="0" applyFill="1" applyBorder="1"/>
    <xf numFmtId="0" fontId="2" fillId="5" borderId="7" xfId="0" applyFont="1" applyFill="1" applyBorder="1"/>
    <xf numFmtId="164" fontId="1" fillId="5" borderId="7" xfId="0" applyNumberFormat="1" applyFont="1" applyFill="1" applyBorder="1" applyAlignment="1">
      <alignment horizontal="center"/>
    </xf>
    <xf numFmtId="2" fontId="0" fillId="4" borderId="1" xfId="0" applyNumberFormat="1" applyFill="1" applyBorder="1"/>
    <xf numFmtId="0" fontId="0" fillId="0" borderId="10" xfId="0" applyBorder="1" applyAlignment="1"/>
    <xf numFmtId="0" fontId="0" fillId="4" borderId="19" xfId="0" applyFill="1" applyBorder="1"/>
    <xf numFmtId="164" fontId="0" fillId="6" borderId="1" xfId="0" applyNumberFormat="1" applyFill="1" applyBorder="1" applyProtection="1">
      <protection locked="0"/>
    </xf>
    <xf numFmtId="2" fontId="16" fillId="6" borderId="3" xfId="0" applyNumberFormat="1" applyFont="1" applyFill="1" applyBorder="1" applyProtection="1">
      <protection locked="0"/>
    </xf>
    <xf numFmtId="2" fontId="16" fillId="7" borderId="1" xfId="0" applyNumberFormat="1" applyFont="1" applyFill="1" applyBorder="1" applyProtection="1">
      <protection locked="0"/>
    </xf>
    <xf numFmtId="166" fontId="0" fillId="8" borderId="1" xfId="0" applyNumberFormat="1" applyFill="1" applyBorder="1" applyProtection="1">
      <protection locked="0"/>
    </xf>
    <xf numFmtId="0" fontId="10" fillId="7" borderId="0" xfId="0" applyFont="1" applyFill="1" applyAlignment="1" applyProtection="1">
      <alignment horizontal="center"/>
    </xf>
    <xf numFmtId="166" fontId="10" fillId="7" borderId="0" xfId="0" applyNumberFormat="1" applyFont="1" applyFill="1" applyAlignment="1" applyProtection="1">
      <alignment horizontal="center"/>
    </xf>
    <xf numFmtId="165" fontId="10" fillId="7" borderId="0" xfId="0" applyNumberFormat="1" applyFont="1" applyFill="1" applyBorder="1" applyAlignment="1" applyProtection="1">
      <alignment horizontal="center"/>
    </xf>
    <xf numFmtId="0" fontId="0" fillId="0" borderId="0" xfId="0" applyAlignment="1" applyProtection="1">
      <alignment horizontal="center"/>
      <protection locked="0"/>
    </xf>
    <xf numFmtId="0" fontId="1" fillId="6" borderId="11" xfId="0" applyFont="1" applyFill="1" applyBorder="1" applyAlignment="1" applyProtection="1">
      <alignment horizontal="center"/>
    </xf>
    <xf numFmtId="0" fontId="1" fillId="6" borderId="12" xfId="0" applyFont="1" applyFill="1" applyBorder="1" applyAlignment="1" applyProtection="1">
      <alignment horizontal="center"/>
    </xf>
    <xf numFmtId="0" fontId="1" fillId="6" borderId="13" xfId="0" applyFont="1" applyFill="1" applyBorder="1" applyAlignment="1" applyProtection="1">
      <alignment horizontal="center"/>
    </xf>
    <xf numFmtId="0" fontId="1" fillId="3" borderId="0" xfId="0" applyFont="1" applyFill="1" applyAlignment="1" applyProtection="1">
      <alignment horizontal="center"/>
    </xf>
    <xf numFmtId="0" fontId="10" fillId="6" borderId="0" xfId="0" applyFont="1" applyFill="1" applyAlignment="1" applyProtection="1">
      <alignment horizontal="center"/>
    </xf>
    <xf numFmtId="2" fontId="10" fillId="6" borderId="0" xfId="0" applyNumberFormat="1" applyFont="1" applyFill="1" applyAlignment="1" applyProtection="1">
      <alignment horizontal="center"/>
    </xf>
    <xf numFmtId="0" fontId="3" fillId="5" borderId="4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0" fillId="6" borderId="0" xfId="0" applyFill="1" applyAlignment="1" applyProtection="1">
      <alignment horizontal="center"/>
    </xf>
    <xf numFmtId="9" fontId="0" fillId="6" borderId="0" xfId="1" applyFont="1" applyFill="1" applyAlignment="1" applyProtection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65" fontId="0" fillId="0" borderId="6" xfId="1" applyNumberFormat="1" applyFont="1" applyBorder="1" applyAlignment="1" applyProtection="1">
      <alignment horizontal="center"/>
      <protection locked="0"/>
    </xf>
    <xf numFmtId="165" fontId="0" fillId="0" borderId="8" xfId="1" applyNumberFormat="1" applyFont="1" applyBorder="1" applyAlignment="1" applyProtection="1">
      <alignment horizontal="center"/>
      <protection locked="0"/>
    </xf>
    <xf numFmtId="164" fontId="1" fillId="5" borderId="7" xfId="0" applyNumberFormat="1" applyFont="1" applyFill="1" applyBorder="1" applyAlignment="1">
      <alignment horizontal="center"/>
    </xf>
    <xf numFmtId="164" fontId="1" fillId="5" borderId="8" xfId="0" applyNumberFormat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fmlaLink="#REF!" lockText="1" noThreeD="1"/>
</file>

<file path=xl/ctrlProps/ctrlProp2.xml><?xml version="1.0" encoding="utf-8"?>
<formControlPr xmlns="http://schemas.microsoft.com/office/spreadsheetml/2009/9/main" objectType="CheckBox" checked="Checked" fmlaLink="#REF!" lockText="1" noThreeD="1"/>
</file>

<file path=xl/ctrlProps/ctrlProp3.xml><?xml version="1.0" encoding="utf-8"?>
<formControlPr xmlns="http://schemas.microsoft.com/office/spreadsheetml/2009/9/main" objectType="CheckBox" checked="Checked" fmlaLink="#REF!" lockText="1" noThreeD="1"/>
</file>

<file path=xl/ctrlProps/ctrlProp4.xml><?xml version="1.0" encoding="utf-8"?>
<formControlPr xmlns="http://schemas.microsoft.com/office/spreadsheetml/2009/9/main" objectType="CheckBox" checked="Checked" fmlaLink="#REF!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140</xdr:row>
          <xdr:rowOff>0</xdr:rowOff>
        </xdr:from>
        <xdr:to>
          <xdr:col>0</xdr:col>
          <xdr:colOff>219075</xdr:colOff>
          <xdr:row>141</xdr:row>
          <xdr:rowOff>28575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140</xdr:row>
          <xdr:rowOff>0</xdr:rowOff>
        </xdr:from>
        <xdr:to>
          <xdr:col>0</xdr:col>
          <xdr:colOff>219075</xdr:colOff>
          <xdr:row>141</xdr:row>
          <xdr:rowOff>28575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3</xdr:row>
          <xdr:rowOff>0</xdr:rowOff>
        </xdr:from>
        <xdr:to>
          <xdr:col>14</xdr:col>
          <xdr:colOff>457200</xdr:colOff>
          <xdr:row>14</xdr:row>
          <xdr:rowOff>0</xdr:rowOff>
        </xdr:to>
        <xdr:sp macro="" textlink="">
          <xdr:nvSpPr>
            <xdr:cNvPr id="8208" name="Object 16" hidden="1">
              <a:extLst>
                <a:ext uri="{63B3BB69-23CF-44E3-9099-C40C66FF867C}">
                  <a14:compatExt spid="_x0000_s82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10</xdr:col>
      <xdr:colOff>6944</xdr:colOff>
      <xdr:row>15</xdr:row>
      <xdr:rowOff>0</xdr:rowOff>
    </xdr:from>
    <xdr:to>
      <xdr:col>14</xdr:col>
      <xdr:colOff>994255</xdr:colOff>
      <xdr:row>34</xdr:row>
      <xdr:rowOff>166687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9194" y="2940844"/>
          <a:ext cx="4309155" cy="38457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125</xdr:row>
          <xdr:rowOff>0</xdr:rowOff>
        </xdr:from>
        <xdr:to>
          <xdr:col>0</xdr:col>
          <xdr:colOff>219075</xdr:colOff>
          <xdr:row>126</xdr:row>
          <xdr:rowOff>28575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125</xdr:row>
          <xdr:rowOff>0</xdr:rowOff>
        </xdr:from>
        <xdr:to>
          <xdr:col>0</xdr:col>
          <xdr:colOff>219075</xdr:colOff>
          <xdr:row>126</xdr:row>
          <xdr:rowOff>28575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3</xdr:row>
          <xdr:rowOff>9525</xdr:rowOff>
        </xdr:from>
        <xdr:to>
          <xdr:col>14</xdr:col>
          <xdr:colOff>457200</xdr:colOff>
          <xdr:row>14</xdr:row>
          <xdr:rowOff>9525</xdr:rowOff>
        </xdr:to>
        <xdr:sp macro="" textlink="">
          <xdr:nvSpPr>
            <xdr:cNvPr id="9238" name="Object 22" hidden="1">
              <a:extLst>
                <a:ext uri="{63B3BB69-23CF-44E3-9099-C40C66FF867C}">
                  <a14:compatExt spid="_x0000_s92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10</xdr:col>
      <xdr:colOff>6944</xdr:colOff>
      <xdr:row>15</xdr:row>
      <xdr:rowOff>0</xdr:rowOff>
    </xdr:from>
    <xdr:to>
      <xdr:col>14</xdr:col>
      <xdr:colOff>994255</xdr:colOff>
      <xdr:row>34</xdr:row>
      <xdr:rowOff>166687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1100" y="2940844"/>
          <a:ext cx="4309155" cy="38457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5" Type="http://schemas.openxmlformats.org/officeDocument/2006/relationships/image" Target="../media/image1.emf"/><Relationship Id="rId4" Type="http://schemas.openxmlformats.org/officeDocument/2006/relationships/oleObject" Target="../embeddings/Microsoft_Visio_2003-2010_Drawing1.vsd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image" Target="../media/image1.emf"/><Relationship Id="rId4" Type="http://schemas.openxmlformats.org/officeDocument/2006/relationships/oleObject" Target="../embeddings/Microsoft_Visio_2003-2010_Drawing2.vsd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141"/>
  <sheetViews>
    <sheetView showRowColHeaders="0" tabSelected="1" zoomScale="80" zoomScaleNormal="80" workbookViewId="0">
      <pane ySplit="3" topLeftCell="A4" activePane="bottomLeft" state="frozen"/>
      <selection pane="bottomLeft" activeCell="O11" sqref="O11"/>
    </sheetView>
  </sheetViews>
  <sheetFormatPr defaultRowHeight="15" x14ac:dyDescent="0.25"/>
  <cols>
    <col min="1" max="1" width="28.5703125" customWidth="1"/>
    <col min="2" max="2" width="5.7109375" style="1" customWidth="1"/>
    <col min="3" max="3" width="4.140625" bestFit="1" customWidth="1"/>
    <col min="4" max="4" width="3.5703125" customWidth="1"/>
    <col min="5" max="5" width="24.42578125" customWidth="1"/>
    <col min="6" max="6" width="5.7109375" style="2" customWidth="1"/>
    <col min="7" max="7" width="4.28515625" customWidth="1"/>
    <col min="8" max="8" width="10.7109375" customWidth="1"/>
    <col min="9" max="9" width="9.140625" customWidth="1"/>
    <col min="10" max="10" width="2.28515625" customWidth="1"/>
    <col min="11" max="11" width="28.28515625" customWidth="1"/>
    <col min="12" max="12" width="6.42578125" customWidth="1"/>
    <col min="13" max="13" width="5.5703125" bestFit="1" customWidth="1"/>
    <col min="14" max="14" width="9.5703125" customWidth="1"/>
    <col min="15" max="15" width="22.28515625" customWidth="1"/>
    <col min="16" max="16" width="6.28515625" customWidth="1"/>
    <col min="17" max="17" width="4.28515625" customWidth="1"/>
  </cols>
  <sheetData>
    <row r="1" spans="1:20" ht="15.75" thickBot="1" x14ac:dyDescent="0.3">
      <c r="A1" t="s">
        <v>45</v>
      </c>
      <c r="H1" s="110" t="s">
        <v>51</v>
      </c>
      <c r="I1" s="111"/>
      <c r="K1" s="27" t="s">
        <v>21</v>
      </c>
      <c r="L1" s="105" t="s">
        <v>22</v>
      </c>
      <c r="M1" s="105"/>
      <c r="N1" s="10" t="s">
        <v>25</v>
      </c>
      <c r="O1" s="106" t="s">
        <v>24</v>
      </c>
      <c r="P1" s="107"/>
    </row>
    <row r="2" spans="1:20" ht="15.75" thickBot="1" x14ac:dyDescent="0.3">
      <c r="A2" t="s">
        <v>47</v>
      </c>
      <c r="E2" s="3" t="s">
        <v>37</v>
      </c>
      <c r="F2" s="88">
        <f>F16+F34</f>
        <v>1.7193671789498086</v>
      </c>
      <c r="G2" s="90" t="s">
        <v>2</v>
      </c>
      <c r="H2" s="112" t="s">
        <v>44</v>
      </c>
      <c r="I2" s="113"/>
      <c r="J2" s="89"/>
      <c r="K2" s="84" t="s">
        <v>48</v>
      </c>
      <c r="L2" s="85">
        <v>30</v>
      </c>
      <c r="M2" s="86" t="s">
        <v>20</v>
      </c>
      <c r="N2" s="87">
        <f>F2*L2</f>
        <v>51.581015368494256</v>
      </c>
      <c r="O2" s="116">
        <f>150-N2</f>
        <v>98.418984631505737</v>
      </c>
      <c r="P2" s="117"/>
      <c r="Q2" s="4"/>
      <c r="R2" s="5"/>
      <c r="S2" s="5"/>
    </row>
    <row r="3" spans="1:20" ht="15.75" thickBot="1" x14ac:dyDescent="0.3">
      <c r="A3" s="15"/>
      <c r="B3" s="16"/>
      <c r="C3" s="15"/>
      <c r="D3" s="15"/>
      <c r="E3" s="15"/>
      <c r="F3" s="17"/>
      <c r="G3" s="15"/>
      <c r="H3" s="114">
        <f>(3.3*B6+5*B25)/F19</f>
        <v>0.74463832963766097</v>
      </c>
      <c r="I3" s="115"/>
      <c r="J3" s="15"/>
      <c r="O3" s="15"/>
      <c r="P3" s="15"/>
      <c r="Q3" s="15"/>
      <c r="R3" s="15"/>
      <c r="S3" s="15"/>
      <c r="T3" s="15"/>
    </row>
    <row r="4" spans="1:20" ht="15.75" thickBot="1" x14ac:dyDescent="0.3">
      <c r="A4" s="11" t="s">
        <v>23</v>
      </c>
      <c r="B4" s="11"/>
      <c r="C4" s="11"/>
      <c r="D4" s="11"/>
      <c r="E4" s="11"/>
      <c r="F4" s="11"/>
      <c r="G4" s="11"/>
      <c r="H4" s="11"/>
      <c r="I4" s="11"/>
      <c r="J4" s="15"/>
      <c r="O4" s="15"/>
      <c r="P4" s="15"/>
      <c r="Q4" s="15"/>
      <c r="R4" s="15"/>
      <c r="S4" s="15"/>
      <c r="T4" s="15"/>
    </row>
    <row r="5" spans="1:20" ht="15.75" thickBot="1" x14ac:dyDescent="0.3">
      <c r="A5" s="21" t="s">
        <v>0</v>
      </c>
      <c r="B5" s="91">
        <v>8</v>
      </c>
      <c r="C5" s="37" t="s">
        <v>1</v>
      </c>
      <c r="D5" s="13"/>
      <c r="E5" s="21" t="s">
        <v>4</v>
      </c>
      <c r="F5" s="38">
        <f>(3.3+B17+F7*IF(B5&gt;7.5,B9,B9+0.05))/(B5-(IF(B5&gt;7.5,B9,B9+0.05)*B12)+B17)</f>
        <v>0.5281801743532808</v>
      </c>
      <c r="G5" s="13"/>
      <c r="H5" s="13"/>
      <c r="I5" s="13"/>
      <c r="J5" s="15"/>
      <c r="O5" s="15"/>
      <c r="P5" s="15"/>
      <c r="Q5" s="15"/>
      <c r="R5" s="15"/>
      <c r="S5" s="15"/>
      <c r="T5" s="15"/>
    </row>
    <row r="6" spans="1:20" ht="15.75" thickBot="1" x14ac:dyDescent="0.3">
      <c r="A6" s="82" t="s">
        <v>41</v>
      </c>
      <c r="B6" s="94">
        <v>2.2000000000000002</v>
      </c>
      <c r="C6" s="83" t="s">
        <v>3</v>
      </c>
      <c r="D6" s="13"/>
      <c r="E6" s="39" t="s">
        <v>30</v>
      </c>
      <c r="F6" s="92">
        <v>3.3</v>
      </c>
      <c r="G6" s="40" t="s">
        <v>31</v>
      </c>
      <c r="H6" s="13"/>
      <c r="I6" s="13"/>
      <c r="J6" s="15"/>
      <c r="O6" s="15"/>
      <c r="P6" s="15"/>
      <c r="Q6" s="15"/>
      <c r="R6" s="15"/>
      <c r="S6" s="15"/>
      <c r="T6" s="15"/>
    </row>
    <row r="7" spans="1:20" ht="15.75" thickBot="1" x14ac:dyDescent="0.3">
      <c r="A7" s="8"/>
      <c r="B7" s="9"/>
      <c r="C7" s="8"/>
      <c r="D7" s="13"/>
      <c r="E7" s="21" t="s">
        <v>18</v>
      </c>
      <c r="F7" s="41">
        <v>5.6000000000000001E-2</v>
      </c>
      <c r="G7" s="42" t="s">
        <v>11</v>
      </c>
      <c r="H7" s="103" t="s">
        <v>46</v>
      </c>
      <c r="I7" s="103"/>
      <c r="J7" s="15"/>
      <c r="O7" s="15"/>
      <c r="P7" s="15"/>
      <c r="Q7" s="15"/>
      <c r="R7" s="15"/>
      <c r="S7" s="15"/>
      <c r="T7" s="15"/>
    </row>
    <row r="8" spans="1:20" x14ac:dyDescent="0.25">
      <c r="A8" s="99" t="s">
        <v>40</v>
      </c>
      <c r="B8" s="100"/>
      <c r="C8" s="101"/>
      <c r="D8" s="13"/>
      <c r="E8" s="8"/>
      <c r="F8" s="7"/>
      <c r="G8" s="8"/>
      <c r="H8" s="104">
        <f>(3.3+B17+B9*F7)*(1-(3.3+B17)/(B5+B17-B9*(B12+F7)))/(0.000001*F6*1000*B15)</f>
        <v>0.2538971475815035</v>
      </c>
      <c r="I8" s="104"/>
      <c r="J8" s="15"/>
      <c r="O8" s="15"/>
      <c r="P8" s="15"/>
      <c r="Q8" s="15"/>
      <c r="R8" s="15"/>
      <c r="S8" s="15"/>
      <c r="T8" s="15"/>
    </row>
    <row r="9" spans="1:20" x14ac:dyDescent="0.25">
      <c r="A9" s="43"/>
      <c r="B9" s="25">
        <f>F35/3.3+B6+B20</f>
        <v>2.719211183156645</v>
      </c>
      <c r="C9" s="26" t="s">
        <v>3</v>
      </c>
      <c r="D9" s="13"/>
      <c r="E9" s="21" t="s">
        <v>28</v>
      </c>
      <c r="F9" s="38">
        <f>H11^2*F7</f>
        <v>0.41437096056906653</v>
      </c>
      <c r="G9" s="13" t="s">
        <v>2</v>
      </c>
      <c r="H9" s="13"/>
      <c r="I9" s="13"/>
      <c r="J9" s="15"/>
      <c r="O9" s="15"/>
      <c r="P9" s="15"/>
      <c r="Q9" s="15"/>
      <c r="R9" s="15"/>
      <c r="S9" s="15"/>
      <c r="T9" s="15"/>
    </row>
    <row r="10" spans="1:20" x14ac:dyDescent="0.25">
      <c r="A10" s="22"/>
      <c r="B10" s="23"/>
      <c r="C10" s="24"/>
      <c r="D10" s="13"/>
      <c r="E10" s="44" t="s">
        <v>14</v>
      </c>
      <c r="F10" s="45">
        <f>F5*(SQRT(IF(B5&gt;7.5,B9,B9+0.05)^2+H8^2/12))^2*B12</f>
        <v>1.3977774782540551</v>
      </c>
      <c r="G10" s="46" t="s">
        <v>2</v>
      </c>
      <c r="H10" s="103" t="s">
        <v>33</v>
      </c>
      <c r="I10" s="103"/>
      <c r="J10" s="15"/>
      <c r="O10" s="15"/>
      <c r="P10" s="15"/>
      <c r="Q10" s="15"/>
      <c r="R10" s="15"/>
      <c r="S10" s="15"/>
      <c r="T10" s="15"/>
    </row>
    <row r="11" spans="1:20" x14ac:dyDescent="0.25">
      <c r="A11" s="21"/>
      <c r="B11" s="9"/>
      <c r="C11" s="13"/>
      <c r="D11" s="13"/>
      <c r="E11" s="44" t="s">
        <v>13</v>
      </c>
      <c r="F11" s="45">
        <f>0.5*B5*IF(B5&gt;7.5,B9,B9+0.05)*((B13+B14)*0.000000001)*(B15*1000)</f>
        <v>0.17511720019528798</v>
      </c>
      <c r="G11" s="46" t="s">
        <v>2</v>
      </c>
      <c r="H11" s="104">
        <f>SQRT(IF(B5&gt;7.5,B9,B9+0.05)^2+H8^2/12)</f>
        <v>2.7201987866208106</v>
      </c>
      <c r="I11" s="104"/>
      <c r="J11" s="15"/>
      <c r="O11" s="15"/>
      <c r="P11" s="15"/>
      <c r="Q11" s="15"/>
      <c r="R11" s="15"/>
      <c r="S11" s="15"/>
      <c r="T11" s="15"/>
    </row>
    <row r="12" spans="1:20" x14ac:dyDescent="0.25">
      <c r="A12" s="44" t="s">
        <v>5</v>
      </c>
      <c r="B12" s="47">
        <f>0.304/0.85</f>
        <v>0.35764705882352943</v>
      </c>
      <c r="C12" s="48" t="s">
        <v>11</v>
      </c>
      <c r="D12" s="13"/>
      <c r="E12" s="44" t="s">
        <v>15</v>
      </c>
      <c r="F12" s="45">
        <f>B5*B16</f>
        <v>3.2000000000000001E-2</v>
      </c>
      <c r="G12" s="46" t="s">
        <v>2</v>
      </c>
      <c r="H12" s="13"/>
      <c r="I12" s="13"/>
      <c r="J12" s="15"/>
      <c r="O12" s="15"/>
      <c r="P12" s="15"/>
      <c r="Q12" s="15"/>
      <c r="R12" s="15"/>
      <c r="S12" s="15"/>
      <c r="T12" s="15"/>
    </row>
    <row r="13" spans="1:20" x14ac:dyDescent="0.25">
      <c r="A13" s="44" t="s">
        <v>6</v>
      </c>
      <c r="B13" s="49">
        <v>5</v>
      </c>
      <c r="C13" s="48" t="s">
        <v>27</v>
      </c>
      <c r="D13" s="13"/>
      <c r="E13" s="21" t="s">
        <v>16</v>
      </c>
      <c r="F13" s="14">
        <f>(1-F5)*(B17*IF(B5&gt;7.5,B9,B9+0.05))</f>
        <v>0.7056377604834676</v>
      </c>
      <c r="G13" s="13" t="s">
        <v>2</v>
      </c>
      <c r="H13" s="103" t="s">
        <v>32</v>
      </c>
      <c r="I13" s="103"/>
      <c r="J13" s="15"/>
      <c r="O13" s="15"/>
      <c r="P13" s="15"/>
      <c r="Q13" s="15"/>
      <c r="R13" s="15"/>
      <c r="S13" s="15"/>
      <c r="T13" s="15"/>
    </row>
    <row r="14" spans="1:20" x14ac:dyDescent="0.25">
      <c r="A14" s="44" t="s">
        <v>7</v>
      </c>
      <c r="B14" s="49">
        <v>2</v>
      </c>
      <c r="C14" s="48" t="s">
        <v>27</v>
      </c>
      <c r="D14" s="13"/>
      <c r="E14" s="44" t="s">
        <v>36</v>
      </c>
      <c r="F14" s="45">
        <f>(B5-3.3)*B19</f>
        <v>6.5799999999999997E-2</v>
      </c>
      <c r="G14" s="46" t="s">
        <v>2</v>
      </c>
      <c r="H14" s="104">
        <f>IF(B5&gt;7.5,B9,B9+0.05)+H8/2</f>
        <v>2.8461597569473969</v>
      </c>
      <c r="I14" s="104"/>
      <c r="J14" s="15"/>
      <c r="O14" s="15"/>
      <c r="P14" s="15"/>
      <c r="Q14" s="15"/>
      <c r="R14" s="15"/>
      <c r="S14" s="15"/>
      <c r="T14" s="15"/>
    </row>
    <row r="15" spans="1:20" x14ac:dyDescent="0.25">
      <c r="A15" s="21" t="s">
        <v>8</v>
      </c>
      <c r="B15" s="50">
        <f>IF(B5&gt;18.9,1000,2300)</f>
        <v>2300</v>
      </c>
      <c r="C15" s="51" t="s">
        <v>26</v>
      </c>
      <c r="D15" s="13"/>
      <c r="E15" s="99" t="s">
        <v>39</v>
      </c>
      <c r="F15" s="100"/>
      <c r="G15" s="101"/>
      <c r="H15" s="13"/>
      <c r="I15" s="13"/>
      <c r="J15" s="15"/>
      <c r="O15" s="15"/>
      <c r="P15" s="15"/>
      <c r="Q15" s="15"/>
      <c r="R15" s="15"/>
      <c r="S15" s="15"/>
      <c r="T15" s="15"/>
    </row>
    <row r="16" spans="1:20" x14ac:dyDescent="0.25">
      <c r="A16" s="44" t="s">
        <v>9</v>
      </c>
      <c r="B16" s="49">
        <v>4.0000000000000001E-3</v>
      </c>
      <c r="C16" s="46" t="s">
        <v>3</v>
      </c>
      <c r="D16" s="13"/>
      <c r="E16" s="43"/>
      <c r="F16" s="52">
        <f>F10+F11+F12+F14</f>
        <v>1.6706946784493433</v>
      </c>
      <c r="G16" s="53" t="s">
        <v>2</v>
      </c>
      <c r="H16" s="13"/>
      <c r="I16" s="13"/>
      <c r="J16" s="15"/>
      <c r="O16" s="15"/>
      <c r="P16" s="15"/>
      <c r="Q16" s="15"/>
      <c r="R16" s="15"/>
      <c r="S16" s="15"/>
      <c r="T16" s="15"/>
    </row>
    <row r="17" spans="1:20" x14ac:dyDescent="0.25">
      <c r="A17" s="21" t="s">
        <v>10</v>
      </c>
      <c r="B17" s="12">
        <f>IF(B9&lt;1.5,0.38,IF(B9&lt;2,0.45,IF(B9&lt;2.5,0.53,IF(B9&lt;3,0.55,IF(B9&lt;3.5,0.58,0.62)))))</f>
        <v>0.55000000000000004</v>
      </c>
      <c r="C17" s="13" t="s">
        <v>1</v>
      </c>
      <c r="D17" s="13"/>
      <c r="E17" s="22"/>
      <c r="F17" s="23"/>
      <c r="G17" s="24"/>
      <c r="H17" s="108"/>
      <c r="I17" s="108"/>
      <c r="J17" s="15"/>
      <c r="O17" s="15"/>
      <c r="P17" s="15"/>
      <c r="Q17" s="15"/>
      <c r="R17" s="15"/>
      <c r="S17" s="15"/>
      <c r="T17" s="15"/>
    </row>
    <row r="18" spans="1:20" x14ac:dyDescent="0.25">
      <c r="A18" s="21" t="s">
        <v>42</v>
      </c>
      <c r="B18" s="12"/>
      <c r="C18" s="13"/>
      <c r="D18" s="13"/>
      <c r="E18" s="99" t="s">
        <v>43</v>
      </c>
      <c r="F18" s="100"/>
      <c r="G18" s="101"/>
      <c r="H18" s="108"/>
      <c r="I18" s="108"/>
      <c r="J18" s="15"/>
      <c r="O18" s="15"/>
      <c r="P18" s="15"/>
      <c r="Q18" s="15"/>
      <c r="R18" s="15"/>
      <c r="S18" s="15"/>
      <c r="T18" s="15"/>
    </row>
    <row r="19" spans="1:20" x14ac:dyDescent="0.25">
      <c r="A19" s="44" t="s">
        <v>12</v>
      </c>
      <c r="B19" s="49">
        <v>1.4E-2</v>
      </c>
      <c r="C19" s="46" t="s">
        <v>3</v>
      </c>
      <c r="D19" s="13"/>
      <c r="E19" s="43"/>
      <c r="F19" s="25">
        <f>F9+(IF(B5&gt;7.5,B9,B9+0.05)*3.3)+F13+F16</f>
        <v>11.764100303918806</v>
      </c>
      <c r="G19" s="26" t="s">
        <v>2</v>
      </c>
      <c r="H19" s="109"/>
      <c r="I19" s="109"/>
      <c r="J19" s="15"/>
      <c r="O19" s="15"/>
      <c r="P19" s="15"/>
      <c r="Q19" s="15"/>
      <c r="R19" s="15"/>
      <c r="S19" s="15"/>
      <c r="T19" s="15"/>
    </row>
    <row r="20" spans="1:20" x14ac:dyDescent="0.25">
      <c r="A20" s="44" t="s">
        <v>29</v>
      </c>
      <c r="B20" s="49">
        <v>2.5000000000000001E-2</v>
      </c>
      <c r="C20" s="46" t="s">
        <v>3</v>
      </c>
      <c r="D20" s="13"/>
      <c r="E20" s="22"/>
      <c r="F20" s="23"/>
      <c r="G20" s="24"/>
      <c r="H20" s="109"/>
      <c r="I20" s="109"/>
      <c r="J20" s="15"/>
      <c r="O20" s="15"/>
      <c r="P20" s="15"/>
      <c r="Q20" s="15"/>
      <c r="R20" s="15"/>
      <c r="S20" s="15"/>
      <c r="T20" s="15"/>
    </row>
    <row r="21" spans="1:20" x14ac:dyDescent="0.25">
      <c r="A21" s="15"/>
      <c r="B21" s="16"/>
      <c r="C21" s="15"/>
      <c r="D21" s="15"/>
      <c r="E21" s="15"/>
      <c r="F21" s="17"/>
      <c r="G21" s="15"/>
      <c r="H21" s="15"/>
      <c r="I21" s="15"/>
      <c r="J21" s="15"/>
      <c r="O21" s="15"/>
      <c r="P21" s="15"/>
      <c r="Q21" s="15"/>
      <c r="R21" s="15"/>
      <c r="S21" s="15"/>
      <c r="T21" s="15"/>
    </row>
    <row r="22" spans="1:20" x14ac:dyDescent="0.25">
      <c r="A22" s="15"/>
      <c r="B22" s="16"/>
      <c r="C22" s="15"/>
      <c r="D22" s="15"/>
      <c r="E22" s="15"/>
      <c r="F22" s="17"/>
      <c r="G22" s="15"/>
      <c r="H22" s="15"/>
      <c r="I22" s="15"/>
      <c r="J22" s="15"/>
      <c r="O22" s="15"/>
      <c r="P22" s="15"/>
      <c r="Q22" s="15"/>
      <c r="R22" s="15"/>
      <c r="S22" s="15"/>
      <c r="T22" s="15"/>
    </row>
    <row r="23" spans="1:20" x14ac:dyDescent="0.25">
      <c r="A23" s="102" t="s">
        <v>49</v>
      </c>
      <c r="B23" s="102"/>
      <c r="C23" s="102"/>
      <c r="D23" s="102"/>
      <c r="E23" s="102"/>
      <c r="F23" s="102"/>
      <c r="G23" s="102"/>
      <c r="H23" s="20"/>
      <c r="I23" s="20"/>
      <c r="J23" s="18"/>
      <c r="K23" s="15"/>
      <c r="L23" s="15"/>
      <c r="M23" s="15"/>
      <c r="N23" s="19"/>
      <c r="O23" s="15"/>
      <c r="P23" s="15"/>
      <c r="Q23" s="15"/>
      <c r="R23" s="15"/>
      <c r="S23" s="15"/>
      <c r="T23" s="15"/>
    </row>
    <row r="24" spans="1:20" ht="15.75" thickBot="1" x14ac:dyDescent="0.3">
      <c r="A24" s="54" t="s">
        <v>17</v>
      </c>
      <c r="B24" s="55">
        <v>3.3</v>
      </c>
      <c r="C24" s="56" t="s">
        <v>1</v>
      </c>
      <c r="D24" s="57"/>
      <c r="E24" s="58" t="s">
        <v>4</v>
      </c>
      <c r="F24" s="59">
        <f>(5-B24+B32)/(5+B32-(B25*(B27+F26)))</f>
        <v>0.40504746086962595</v>
      </c>
      <c r="G24" s="57"/>
      <c r="H24" s="57"/>
      <c r="I24" s="57"/>
      <c r="J24" s="18"/>
      <c r="K24" s="15"/>
      <c r="L24" s="15"/>
      <c r="M24" s="15"/>
      <c r="N24" s="19"/>
      <c r="O24" s="15"/>
      <c r="P24" s="15"/>
      <c r="Q24" s="15"/>
      <c r="R24" s="15"/>
      <c r="S24" s="15"/>
      <c r="T24" s="15"/>
    </row>
    <row r="25" spans="1:20" ht="15.75" thickBot="1" x14ac:dyDescent="0.3">
      <c r="A25" s="58" t="s">
        <v>34</v>
      </c>
      <c r="B25" s="61">
        <v>0.3</v>
      </c>
      <c r="C25" s="62" t="s">
        <v>3</v>
      </c>
      <c r="D25" s="57"/>
      <c r="E25" s="63" t="s">
        <v>30</v>
      </c>
      <c r="F25" s="93">
        <v>4.7</v>
      </c>
      <c r="G25" s="64" t="s">
        <v>31</v>
      </c>
      <c r="H25" s="60"/>
      <c r="I25" s="57"/>
      <c r="J25" s="15"/>
      <c r="K25" s="15"/>
      <c r="L25" s="15"/>
      <c r="M25" s="15"/>
      <c r="N25" s="19"/>
      <c r="O25" s="15"/>
      <c r="P25" s="15"/>
      <c r="Q25" s="15"/>
      <c r="R25" s="15"/>
      <c r="S25" s="15"/>
      <c r="T25" s="15"/>
    </row>
    <row r="26" spans="1:20" ht="15.75" thickBot="1" x14ac:dyDescent="0.3">
      <c r="A26" s="58"/>
      <c r="B26" s="78"/>
      <c r="C26" s="57"/>
      <c r="D26" s="57"/>
      <c r="E26" s="66" t="s">
        <v>18</v>
      </c>
      <c r="F26" s="61">
        <v>0.217</v>
      </c>
      <c r="G26" s="67" t="s">
        <v>11</v>
      </c>
      <c r="H26" s="65"/>
      <c r="I26" s="65"/>
      <c r="J26" s="15"/>
      <c r="K26" s="15"/>
      <c r="M26" s="15"/>
      <c r="N26" s="31"/>
      <c r="O26" s="15"/>
      <c r="P26" s="15"/>
      <c r="Q26" s="15"/>
      <c r="R26" s="15"/>
      <c r="S26" s="15"/>
      <c r="T26" s="15"/>
    </row>
    <row r="27" spans="1:20" x14ac:dyDescent="0.25">
      <c r="A27" s="68" t="s">
        <v>19</v>
      </c>
      <c r="B27" s="69">
        <f>0.634/0.85</f>
        <v>0.74588235294117655</v>
      </c>
      <c r="C27" s="70" t="s">
        <v>11</v>
      </c>
      <c r="D27" s="75"/>
      <c r="E27" s="58" t="s">
        <v>8</v>
      </c>
      <c r="F27" s="74">
        <f>IF(B5&gt;18.9,1000,2300)</f>
        <v>2300</v>
      </c>
      <c r="G27" s="57" t="s">
        <v>26</v>
      </c>
      <c r="H27" s="97" t="s">
        <v>46</v>
      </c>
      <c r="I27" s="97"/>
      <c r="J27" s="15"/>
      <c r="K27" s="15"/>
      <c r="L27" s="15"/>
      <c r="M27" s="15"/>
      <c r="N27" s="31"/>
      <c r="O27" s="15"/>
      <c r="P27" s="15"/>
      <c r="Q27" s="15"/>
      <c r="R27" s="15"/>
      <c r="S27" s="15"/>
      <c r="T27" s="15"/>
    </row>
    <row r="28" spans="1:20" x14ac:dyDescent="0.25">
      <c r="A28" s="68" t="s">
        <v>6</v>
      </c>
      <c r="B28" s="69">
        <v>5</v>
      </c>
      <c r="C28" s="70" t="s">
        <v>27</v>
      </c>
      <c r="D28" s="57"/>
      <c r="E28" s="58" t="s">
        <v>28</v>
      </c>
      <c r="F28" s="59">
        <f>H31^2*F26</f>
        <v>1.9754387307772975E-2</v>
      </c>
      <c r="G28" s="57" t="s">
        <v>2</v>
      </c>
      <c r="H28" s="96">
        <f>(B24-B25*(B27+F26))*(5+B32-B24)/(5+B32-B25*B27)/(0.000001*F25*1000*F27)</f>
        <v>0.11139351289709933</v>
      </c>
      <c r="I28" s="96"/>
      <c r="J28" s="15"/>
      <c r="K28" s="15"/>
      <c r="L28" s="15"/>
      <c r="M28" s="15"/>
      <c r="N28" s="31"/>
      <c r="O28" s="15"/>
      <c r="P28" s="15"/>
      <c r="Q28" s="15"/>
      <c r="R28" s="15"/>
      <c r="S28" s="15"/>
      <c r="T28" s="15"/>
    </row>
    <row r="29" spans="1:20" x14ac:dyDescent="0.25">
      <c r="A29" s="68" t="s">
        <v>7</v>
      </c>
      <c r="B29" s="69">
        <v>2</v>
      </c>
      <c r="C29" s="70" t="s">
        <v>27</v>
      </c>
      <c r="D29" s="57"/>
      <c r="E29" s="71" t="s">
        <v>14</v>
      </c>
      <c r="F29" s="72">
        <f>(F24*SQRT(B25^2+H28^2/12)^2*B27)</f>
        <v>2.750300050046527E-2</v>
      </c>
      <c r="G29" s="73" t="s">
        <v>2</v>
      </c>
      <c r="H29" s="75"/>
      <c r="I29" s="75"/>
      <c r="J29" s="15"/>
      <c r="K29" s="15"/>
      <c r="L29" s="15"/>
      <c r="M29" s="15"/>
      <c r="N29" s="15"/>
      <c r="O29" s="15"/>
      <c r="P29" s="15"/>
      <c r="Q29" s="98"/>
      <c r="R29" s="98"/>
      <c r="S29" s="98"/>
      <c r="T29" s="15"/>
    </row>
    <row r="30" spans="1:20" x14ac:dyDescent="0.25">
      <c r="A30" s="75"/>
      <c r="B30" s="78"/>
      <c r="C30" s="75"/>
      <c r="D30" s="57"/>
      <c r="E30" s="71" t="s">
        <v>13</v>
      </c>
      <c r="F30" s="72">
        <f>0.5*B24*B25*((B28+B29)*0.000000001)*(F27*1000)</f>
        <v>7.9694999999999992E-3</v>
      </c>
      <c r="G30" s="73" t="s">
        <v>2</v>
      </c>
      <c r="H30" s="95" t="s">
        <v>33</v>
      </c>
      <c r="I30" s="95"/>
      <c r="J30" s="15"/>
      <c r="L30" s="15"/>
      <c r="M30" s="15"/>
      <c r="N30" s="15"/>
      <c r="O30" s="15"/>
      <c r="P30" s="15"/>
      <c r="Q30" s="15"/>
      <c r="R30" s="15"/>
      <c r="S30" s="15"/>
      <c r="T30" s="15"/>
    </row>
    <row r="31" spans="1:20" ht="15.75" thickBot="1" x14ac:dyDescent="0.3">
      <c r="A31" s="71" t="s">
        <v>9</v>
      </c>
      <c r="B31" s="76">
        <v>4.0000000000000001E-3</v>
      </c>
      <c r="C31" s="73" t="s">
        <v>3</v>
      </c>
      <c r="D31" s="75"/>
      <c r="E31" s="71" t="s">
        <v>15</v>
      </c>
      <c r="F31" s="72">
        <f>B24*B31</f>
        <v>1.32E-2</v>
      </c>
      <c r="G31" s="73" t="s">
        <v>2</v>
      </c>
      <c r="H31" s="96">
        <f>SQRT(B25^2+H28^2/12)</f>
        <v>0.30171848284943203</v>
      </c>
      <c r="I31" s="96"/>
      <c r="J31" s="15"/>
      <c r="K31" s="15"/>
      <c r="L31" s="18"/>
      <c r="M31" s="15"/>
      <c r="N31" s="15"/>
      <c r="P31" s="15"/>
      <c r="Q31" s="15"/>
      <c r="R31" s="15"/>
      <c r="S31" s="15"/>
      <c r="T31" s="15"/>
    </row>
    <row r="32" spans="1:20" ht="15.75" thickBot="1" x14ac:dyDescent="0.3">
      <c r="A32" s="58" t="s">
        <v>10</v>
      </c>
      <c r="B32" s="77">
        <v>0.35</v>
      </c>
      <c r="C32" s="62" t="s">
        <v>1</v>
      </c>
      <c r="D32" s="57"/>
      <c r="E32" s="58" t="s">
        <v>16</v>
      </c>
      <c r="F32" s="59">
        <f>(1-F24)*B32*B25</f>
        <v>6.2470016608689269E-2</v>
      </c>
      <c r="G32" s="57" t="s">
        <v>2</v>
      </c>
      <c r="H32" s="57"/>
      <c r="I32" s="57"/>
      <c r="J32" s="15"/>
      <c r="K32" s="15"/>
      <c r="L32" s="18"/>
      <c r="M32" s="15"/>
      <c r="N32" s="15"/>
      <c r="P32" s="15"/>
      <c r="Q32" s="15"/>
      <c r="R32" s="15"/>
      <c r="S32" s="15"/>
      <c r="T32" s="15"/>
    </row>
    <row r="33" spans="1:20" x14ac:dyDescent="0.25">
      <c r="A33" s="75"/>
      <c r="B33" s="78"/>
      <c r="C33" s="75"/>
      <c r="D33" s="57"/>
      <c r="E33" s="71" t="s">
        <v>35</v>
      </c>
      <c r="F33" s="72">
        <f>F30+F29</f>
        <v>3.547250050046527E-2</v>
      </c>
      <c r="G33" s="73" t="s">
        <v>2</v>
      </c>
      <c r="H33" s="95" t="s">
        <v>32</v>
      </c>
      <c r="I33" s="95"/>
      <c r="J33" s="15"/>
      <c r="K33" s="15"/>
      <c r="L33" s="18"/>
      <c r="M33" s="15"/>
      <c r="N33" s="15"/>
      <c r="P33" s="15"/>
      <c r="Q33" s="15"/>
      <c r="R33" s="15"/>
      <c r="S33" s="15"/>
      <c r="T33" s="15"/>
    </row>
    <row r="34" spans="1:20" x14ac:dyDescent="0.25">
      <c r="A34" s="75"/>
      <c r="B34" s="78"/>
      <c r="C34" s="75"/>
      <c r="D34" s="57"/>
      <c r="E34" s="79" t="s">
        <v>38</v>
      </c>
      <c r="F34" s="80">
        <f>F33+F31</f>
        <v>4.8672500500465274E-2</v>
      </c>
      <c r="G34" s="81" t="s">
        <v>2</v>
      </c>
      <c r="H34" s="96">
        <f>B25+H28/2</f>
        <v>0.35569675644854964</v>
      </c>
      <c r="I34" s="96"/>
      <c r="J34" s="15"/>
      <c r="K34" s="15"/>
      <c r="L34" s="19"/>
      <c r="M34" s="15"/>
      <c r="N34" s="15"/>
      <c r="O34" s="15"/>
      <c r="P34" s="15"/>
      <c r="Q34" s="15"/>
      <c r="R34" s="15"/>
      <c r="S34" s="15"/>
      <c r="T34" s="15"/>
    </row>
    <row r="35" spans="1:20" x14ac:dyDescent="0.25">
      <c r="A35" s="75"/>
      <c r="B35" s="78"/>
      <c r="C35" s="75"/>
      <c r="D35" s="57"/>
      <c r="E35" s="58" t="s">
        <v>50</v>
      </c>
      <c r="F35" s="59">
        <f>(5*B25)+F34+F32+F28</f>
        <v>1.6308969044169277</v>
      </c>
      <c r="G35" s="57" t="s">
        <v>2</v>
      </c>
      <c r="H35" s="57"/>
      <c r="I35" s="57"/>
      <c r="J35" s="15"/>
      <c r="O35" s="15"/>
      <c r="P35" s="15"/>
      <c r="Q35" s="15"/>
      <c r="R35" s="15"/>
      <c r="S35" s="15"/>
      <c r="T35" s="15"/>
    </row>
    <row r="36" spans="1:20" x14ac:dyDescent="0.25">
      <c r="A36" s="28"/>
      <c r="B36" s="30"/>
      <c r="C36" s="29"/>
      <c r="D36" s="29"/>
      <c r="H36" s="29"/>
      <c r="I36" s="29"/>
      <c r="J36" s="15"/>
      <c r="K36" s="15"/>
      <c r="L36" s="6"/>
      <c r="O36" s="15"/>
      <c r="P36" s="18"/>
      <c r="Q36" s="15"/>
      <c r="R36" s="15"/>
      <c r="S36" s="15"/>
      <c r="T36" s="15"/>
    </row>
    <row r="37" spans="1:20" x14ac:dyDescent="0.25">
      <c r="A37" s="28"/>
      <c r="B37" s="30"/>
      <c r="C37" s="29"/>
      <c r="D37" s="29"/>
      <c r="H37" s="29"/>
      <c r="I37" s="29"/>
      <c r="J37" s="15"/>
      <c r="K37" s="15"/>
      <c r="L37" s="18"/>
      <c r="M37" s="15"/>
      <c r="N37" s="15"/>
      <c r="O37" s="15"/>
      <c r="P37" s="18"/>
      <c r="Q37" s="15"/>
      <c r="R37" s="15"/>
      <c r="S37" s="15"/>
      <c r="T37" s="15"/>
    </row>
    <row r="38" spans="1:20" x14ac:dyDescent="0.25">
      <c r="A38" s="15"/>
      <c r="B38" s="16"/>
      <c r="C38" s="15"/>
      <c r="D38" s="15"/>
      <c r="E38" s="15"/>
      <c r="F38" s="17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</row>
    <row r="141" spans="1:1" x14ac:dyDescent="0.25">
      <c r="A141" s="15"/>
    </row>
  </sheetData>
  <sheetProtection algorithmName="SHA-512" hashValue="Ytuo2sB8oHbVinNLDlKM7pWSvSXHpqRbnc4FOyIB880TLEe7ZwTp8RaivNgx8Pw7j3nzninOxHAmJ2LLLrrp6g==" saltValue="2cGpOxV2c/rnJJ7VvbA+uw==" spinCount="100000" sheet="1" objects="1" scenarios="1" selectLockedCells="1"/>
  <mergeCells count="27">
    <mergeCell ref="H1:I1"/>
    <mergeCell ref="H2:I2"/>
    <mergeCell ref="H3:I3"/>
    <mergeCell ref="H28:I28"/>
    <mergeCell ref="Q29:S29"/>
    <mergeCell ref="H20:I20"/>
    <mergeCell ref="H14:I14"/>
    <mergeCell ref="H7:I7"/>
    <mergeCell ref="L1:M1"/>
    <mergeCell ref="O1:P1"/>
    <mergeCell ref="O2:P2"/>
    <mergeCell ref="H30:I30"/>
    <mergeCell ref="H31:I31"/>
    <mergeCell ref="H33:I33"/>
    <mergeCell ref="H34:I34"/>
    <mergeCell ref="A23:G23"/>
    <mergeCell ref="H27:I27"/>
    <mergeCell ref="E15:G15"/>
    <mergeCell ref="H17:I17"/>
    <mergeCell ref="E18:G18"/>
    <mergeCell ref="H18:I18"/>
    <mergeCell ref="H19:I19"/>
    <mergeCell ref="A8:C8"/>
    <mergeCell ref="H8:I8"/>
    <mergeCell ref="H10:I10"/>
    <mergeCell ref="H11:I11"/>
    <mergeCell ref="H13:I13"/>
  </mergeCells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Visio.Drawing.11" shapeId="8208" r:id="rId4">
          <objectPr defaultSize="0" r:id="rId5">
            <anchor moveWithCells="1">
              <from>
                <xdr:col>10</xdr:col>
                <xdr:colOff>9525</xdr:colOff>
                <xdr:row>3</xdr:row>
                <xdr:rowOff>0</xdr:rowOff>
              </from>
              <to>
                <xdr:col>14</xdr:col>
                <xdr:colOff>457200</xdr:colOff>
                <xdr:row>14</xdr:row>
                <xdr:rowOff>0</xdr:rowOff>
              </to>
            </anchor>
          </objectPr>
        </oleObject>
      </mc:Choice>
      <mc:Fallback>
        <oleObject progId="Visio.Drawing.11" shapeId="8208" r:id="rId4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4" r:id="rId6" name="Check Box 2">
              <controlPr defaultSize="0" autoFill="0" autoLine="0" autoPict="0">
                <anchor moveWithCells="1">
                  <from>
                    <xdr:col>0</xdr:col>
                    <xdr:colOff>9525</xdr:colOff>
                    <xdr:row>140</xdr:row>
                    <xdr:rowOff>0</xdr:rowOff>
                  </from>
                  <to>
                    <xdr:col>0</xdr:col>
                    <xdr:colOff>219075</xdr:colOff>
                    <xdr:row>141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7" name="Check Box 3">
              <controlPr defaultSize="0" autoFill="0" autoLine="0" autoPict="0">
                <anchor moveWithCells="1">
                  <from>
                    <xdr:col>0</xdr:col>
                    <xdr:colOff>0</xdr:colOff>
                    <xdr:row>140</xdr:row>
                    <xdr:rowOff>0</xdr:rowOff>
                  </from>
                  <to>
                    <xdr:col>0</xdr:col>
                    <xdr:colOff>219075</xdr:colOff>
                    <xdr:row>141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38"/>
  <sheetViews>
    <sheetView showRowColHeaders="0" zoomScale="80" zoomScaleNormal="80" workbookViewId="0">
      <pane ySplit="3" topLeftCell="A4" activePane="bottomLeft" state="frozen"/>
      <selection pane="bottomLeft" activeCell="O11" sqref="O11"/>
    </sheetView>
  </sheetViews>
  <sheetFormatPr defaultRowHeight="15" x14ac:dyDescent="0.25"/>
  <cols>
    <col min="1" max="1" width="28.5703125" customWidth="1"/>
    <col min="2" max="2" width="5.7109375" style="1" customWidth="1"/>
    <col min="3" max="3" width="4.140625" bestFit="1" customWidth="1"/>
    <col min="4" max="4" width="3.5703125" customWidth="1"/>
    <col min="5" max="5" width="24.42578125" customWidth="1"/>
    <col min="6" max="6" width="5.7109375" style="2" customWidth="1"/>
    <col min="7" max="7" width="4.28515625" customWidth="1"/>
    <col min="8" max="8" width="10.7109375" customWidth="1"/>
    <col min="9" max="9" width="9.140625" customWidth="1"/>
    <col min="10" max="10" width="2.42578125" customWidth="1"/>
    <col min="11" max="11" width="28.28515625" customWidth="1"/>
    <col min="12" max="12" width="6.42578125" customWidth="1"/>
    <col min="13" max="13" width="5.5703125" bestFit="1" customWidth="1"/>
    <col min="14" max="14" width="9.5703125" customWidth="1"/>
    <col min="15" max="15" width="22.28515625" customWidth="1"/>
    <col min="16" max="16" width="6.28515625" customWidth="1"/>
    <col min="17" max="17" width="4.28515625" customWidth="1"/>
  </cols>
  <sheetData>
    <row r="1" spans="1:20" ht="15.75" thickBot="1" x14ac:dyDescent="0.3">
      <c r="A1" t="s">
        <v>45</v>
      </c>
      <c r="H1" s="110" t="s">
        <v>52</v>
      </c>
      <c r="I1" s="111"/>
      <c r="K1" s="27" t="s">
        <v>21</v>
      </c>
      <c r="L1" s="105" t="s">
        <v>22</v>
      </c>
      <c r="M1" s="105"/>
      <c r="N1" s="10" t="s">
        <v>25</v>
      </c>
      <c r="O1" s="106" t="s">
        <v>24</v>
      </c>
      <c r="P1" s="107"/>
    </row>
    <row r="2" spans="1:20" ht="15.75" thickBot="1" x14ac:dyDescent="0.3">
      <c r="A2" t="s">
        <v>47</v>
      </c>
      <c r="E2" s="3" t="s">
        <v>37</v>
      </c>
      <c r="F2" s="88">
        <f>F16+F34</f>
        <v>1.4715392829230507</v>
      </c>
      <c r="G2" s="90" t="s">
        <v>2</v>
      </c>
      <c r="H2" s="112" t="s">
        <v>44</v>
      </c>
      <c r="I2" s="113"/>
      <c r="J2" s="89"/>
      <c r="K2" s="84" t="s">
        <v>48</v>
      </c>
      <c r="L2" s="85">
        <v>30</v>
      </c>
      <c r="M2" s="86" t="s">
        <v>20</v>
      </c>
      <c r="N2" s="87">
        <f>F2*L2</f>
        <v>44.146178487691522</v>
      </c>
      <c r="O2" s="116">
        <f>150-N2</f>
        <v>105.85382151230849</v>
      </c>
      <c r="P2" s="117"/>
      <c r="Q2" s="4"/>
      <c r="R2" s="5"/>
      <c r="S2" s="5"/>
    </row>
    <row r="3" spans="1:20" ht="15.75" thickBot="1" x14ac:dyDescent="0.3">
      <c r="A3" s="15"/>
      <c r="B3" s="16"/>
      <c r="C3" s="15"/>
      <c r="D3" s="15"/>
      <c r="E3" s="15"/>
      <c r="F3" s="17"/>
      <c r="G3" s="15"/>
      <c r="H3" s="114">
        <f>(3.3*B6+5*B25)/F19</f>
        <v>0.76562891142355749</v>
      </c>
      <c r="I3" s="115"/>
      <c r="J3" s="15"/>
      <c r="O3" s="15"/>
      <c r="P3" s="15"/>
      <c r="Q3" s="15"/>
      <c r="R3" s="15"/>
      <c r="S3" s="15"/>
      <c r="T3" s="15"/>
    </row>
    <row r="4" spans="1:20" ht="15.75" thickBot="1" x14ac:dyDescent="0.3">
      <c r="A4" s="11" t="s">
        <v>23</v>
      </c>
      <c r="B4" s="11"/>
      <c r="C4" s="11"/>
      <c r="D4" s="11"/>
      <c r="E4" s="11"/>
      <c r="F4" s="11"/>
      <c r="G4" s="11"/>
      <c r="H4" s="11"/>
      <c r="I4" s="11"/>
      <c r="J4" s="15"/>
      <c r="O4" s="15"/>
      <c r="P4" s="15"/>
      <c r="Q4" s="15"/>
      <c r="R4" s="15"/>
      <c r="S4" s="15"/>
      <c r="T4" s="15"/>
    </row>
    <row r="5" spans="1:20" ht="15.75" thickBot="1" x14ac:dyDescent="0.3">
      <c r="A5" s="21" t="s">
        <v>0</v>
      </c>
      <c r="B5" s="91">
        <v>8</v>
      </c>
      <c r="C5" s="37" t="s">
        <v>1</v>
      </c>
      <c r="D5" s="13"/>
      <c r="E5" s="21" t="s">
        <v>4</v>
      </c>
      <c r="F5" s="38">
        <f>(3.3+B17+F7*IF(B5&gt;7.5,B9,B9+0.05))/(B5-(IF(B5&gt;7.5,B9,B9+0.05)*B12)+B17)</f>
        <v>0.51359578263652772</v>
      </c>
      <c r="G5" s="13"/>
      <c r="H5" s="13"/>
      <c r="I5" s="13"/>
      <c r="J5" s="15"/>
      <c r="O5" s="15"/>
      <c r="P5" s="15"/>
      <c r="Q5" s="15"/>
      <c r="R5" s="15"/>
      <c r="S5" s="15"/>
      <c r="T5" s="15"/>
    </row>
    <row r="6" spans="1:20" ht="15.75" thickBot="1" x14ac:dyDescent="0.3">
      <c r="A6" s="82" t="s">
        <v>41</v>
      </c>
      <c r="B6" s="94">
        <v>2.2000000000000002</v>
      </c>
      <c r="C6" s="83" t="s">
        <v>3</v>
      </c>
      <c r="D6" s="13"/>
      <c r="E6" s="39" t="s">
        <v>30</v>
      </c>
      <c r="F6" s="92">
        <v>3.3</v>
      </c>
      <c r="G6" s="40" t="s">
        <v>31</v>
      </c>
      <c r="H6" s="13"/>
      <c r="I6" s="13"/>
      <c r="J6" s="15"/>
      <c r="O6" s="15"/>
      <c r="P6" s="15"/>
      <c r="Q6" s="15"/>
      <c r="R6" s="15"/>
      <c r="S6" s="15"/>
      <c r="T6" s="15"/>
    </row>
    <row r="7" spans="1:20" ht="15.75" thickBot="1" x14ac:dyDescent="0.3">
      <c r="A7" s="8"/>
      <c r="B7" s="9"/>
      <c r="C7" s="8"/>
      <c r="D7" s="13"/>
      <c r="E7" s="21" t="s">
        <v>18</v>
      </c>
      <c r="F7" s="41">
        <v>4.2999999999999997E-2</v>
      </c>
      <c r="G7" s="42" t="s">
        <v>11</v>
      </c>
      <c r="H7" s="103" t="s">
        <v>46</v>
      </c>
      <c r="I7" s="103"/>
      <c r="J7" s="15"/>
      <c r="O7" s="15"/>
      <c r="P7" s="15"/>
      <c r="Q7" s="15"/>
      <c r="R7" s="15"/>
      <c r="S7" s="15"/>
      <c r="T7" s="15"/>
    </row>
    <row r="8" spans="1:20" x14ac:dyDescent="0.25">
      <c r="A8" s="99" t="s">
        <v>40</v>
      </c>
      <c r="B8" s="100"/>
      <c r="C8" s="101"/>
      <c r="D8" s="13"/>
      <c r="E8" s="8"/>
      <c r="F8" s="7"/>
      <c r="G8" s="8"/>
      <c r="H8" s="104">
        <f>(3.3+B17+B9*F7)*(1-(3.3+B17)/(B5+B17-B9*(B12+F7)))/(0.000001*F6*1000*B15)</f>
        <v>0.25812249671717369</v>
      </c>
      <c r="I8" s="104"/>
      <c r="J8" s="15"/>
      <c r="O8" s="15"/>
      <c r="P8" s="15"/>
      <c r="Q8" s="15"/>
      <c r="R8" s="15"/>
      <c r="S8" s="15"/>
      <c r="T8" s="15"/>
    </row>
    <row r="9" spans="1:20" x14ac:dyDescent="0.25">
      <c r="A9" s="43"/>
      <c r="B9" s="25">
        <f>F35/3.3+B6+B20</f>
        <v>2.7180006379233359</v>
      </c>
      <c r="C9" s="26" t="s">
        <v>3</v>
      </c>
      <c r="D9" s="13"/>
      <c r="E9" s="21" t="s">
        <v>28</v>
      </c>
      <c r="F9" s="38">
        <f>H11^2*F7</f>
        <v>0.31790242866352098</v>
      </c>
      <c r="G9" s="13" t="s">
        <v>2</v>
      </c>
      <c r="H9" s="13"/>
      <c r="I9" s="13"/>
      <c r="J9" s="15"/>
      <c r="O9" s="15"/>
      <c r="P9" s="15"/>
      <c r="Q9" s="15"/>
      <c r="R9" s="15"/>
      <c r="S9" s="15"/>
      <c r="T9" s="15"/>
    </row>
    <row r="10" spans="1:20" x14ac:dyDescent="0.25">
      <c r="A10" s="22"/>
      <c r="B10" s="23"/>
      <c r="C10" s="24"/>
      <c r="D10" s="13"/>
      <c r="E10" s="44" t="s">
        <v>14</v>
      </c>
      <c r="F10" s="45">
        <f>F5*(SQRT(IF(B5&gt;7.5,B9,B9+0.05)^2+H8^2/12))^2*B12</f>
        <v>1.1543045902803295</v>
      </c>
      <c r="G10" s="46" t="s">
        <v>2</v>
      </c>
      <c r="H10" s="103" t="s">
        <v>33</v>
      </c>
      <c r="I10" s="103"/>
      <c r="J10" s="15"/>
      <c r="O10" s="15"/>
      <c r="P10" s="15"/>
      <c r="Q10" s="15"/>
      <c r="R10" s="15"/>
      <c r="S10" s="15"/>
      <c r="T10" s="15"/>
    </row>
    <row r="11" spans="1:20" x14ac:dyDescent="0.25">
      <c r="A11" s="21"/>
      <c r="B11" s="14"/>
      <c r="C11" s="13"/>
      <c r="D11" s="13"/>
      <c r="E11" s="44" t="s">
        <v>13</v>
      </c>
      <c r="F11" s="45">
        <f>0.5*B5*IF(B5&gt;7.5,B9,B9+0.05)*((B13+B14)*0.000000001)*(B15*1000)</f>
        <v>0.17503924108226285</v>
      </c>
      <c r="G11" s="46" t="s">
        <v>2</v>
      </c>
      <c r="H11" s="104">
        <f>SQRT(IF(B5&gt;7.5,B9,B9+0.05)^2+H8^2/12)</f>
        <v>2.7190218344766843</v>
      </c>
      <c r="I11" s="104"/>
      <c r="J11" s="15"/>
      <c r="O11" s="15"/>
      <c r="P11" s="15"/>
      <c r="Q11" s="15"/>
      <c r="R11" s="15"/>
      <c r="S11" s="15"/>
      <c r="T11" s="15"/>
    </row>
    <row r="12" spans="1:20" x14ac:dyDescent="0.25">
      <c r="A12" s="44" t="s">
        <v>5</v>
      </c>
      <c r="B12" s="47">
        <f>0.304/1</f>
        <v>0.30399999999999999</v>
      </c>
      <c r="C12" s="48" t="s">
        <v>11</v>
      </c>
      <c r="D12" s="13"/>
      <c r="E12" s="44" t="s">
        <v>15</v>
      </c>
      <c r="F12" s="45">
        <f>B5*B16</f>
        <v>3.2000000000000001E-2</v>
      </c>
      <c r="G12" s="46" t="s">
        <v>2</v>
      </c>
      <c r="H12" s="13"/>
      <c r="I12" s="13"/>
      <c r="J12" s="15"/>
      <c r="O12" s="15"/>
      <c r="P12" s="15"/>
      <c r="Q12" s="15"/>
      <c r="R12" s="15"/>
      <c r="S12" s="15"/>
      <c r="T12" s="15"/>
    </row>
    <row r="13" spans="1:20" x14ac:dyDescent="0.25">
      <c r="A13" s="44" t="s">
        <v>6</v>
      </c>
      <c r="B13" s="49">
        <v>5</v>
      </c>
      <c r="C13" s="48" t="s">
        <v>27</v>
      </c>
      <c r="D13" s="13"/>
      <c r="E13" s="21" t="s">
        <v>16</v>
      </c>
      <c r="F13" s="14">
        <f>(1-F5)*(B17*IF(B5&gt;7.5,B9,B9+0.05))</f>
        <v>0.72712583519538532</v>
      </c>
      <c r="G13" s="13" t="s">
        <v>2</v>
      </c>
      <c r="H13" s="103" t="s">
        <v>32</v>
      </c>
      <c r="I13" s="103"/>
      <c r="J13" s="15"/>
      <c r="O13" s="15"/>
      <c r="P13" s="15"/>
      <c r="Q13" s="15"/>
      <c r="R13" s="15"/>
      <c r="S13" s="15"/>
      <c r="T13" s="15"/>
    </row>
    <row r="14" spans="1:20" x14ac:dyDescent="0.25">
      <c r="A14" s="44" t="s">
        <v>7</v>
      </c>
      <c r="B14" s="49">
        <v>2</v>
      </c>
      <c r="C14" s="48" t="s">
        <v>27</v>
      </c>
      <c r="D14" s="13"/>
      <c r="E14" s="44" t="s">
        <v>36</v>
      </c>
      <c r="F14" s="45">
        <f>(B5-3.3)*B19</f>
        <v>6.5799999999999997E-2</v>
      </c>
      <c r="G14" s="46" t="s">
        <v>2</v>
      </c>
      <c r="H14" s="104">
        <f>IF(B5&gt;7.5,B9,B9+0.05)+H8/2</f>
        <v>2.8470618862819226</v>
      </c>
      <c r="I14" s="104"/>
      <c r="J14" s="15"/>
      <c r="O14" s="15"/>
      <c r="P14" s="15"/>
      <c r="Q14" s="15"/>
      <c r="R14" s="15"/>
      <c r="S14" s="15"/>
      <c r="T14" s="15"/>
    </row>
    <row r="15" spans="1:20" x14ac:dyDescent="0.25">
      <c r="A15" s="21" t="s">
        <v>8</v>
      </c>
      <c r="B15" s="50">
        <f>IF(B5&gt;18.9,1000,2300)</f>
        <v>2300</v>
      </c>
      <c r="C15" s="51" t="s">
        <v>26</v>
      </c>
      <c r="D15" s="13"/>
      <c r="E15" s="99" t="s">
        <v>39</v>
      </c>
      <c r="F15" s="100"/>
      <c r="G15" s="101"/>
      <c r="H15" s="13"/>
      <c r="I15" s="13"/>
      <c r="J15" s="15"/>
      <c r="O15" s="15"/>
      <c r="P15" s="15"/>
      <c r="Q15" s="15"/>
      <c r="R15" s="15"/>
      <c r="S15" s="15"/>
      <c r="T15" s="15"/>
    </row>
    <row r="16" spans="1:20" x14ac:dyDescent="0.25">
      <c r="A16" s="44" t="s">
        <v>9</v>
      </c>
      <c r="B16" s="49">
        <v>4.0000000000000001E-3</v>
      </c>
      <c r="C16" s="46" t="s">
        <v>3</v>
      </c>
      <c r="D16" s="13"/>
      <c r="E16" s="43"/>
      <c r="F16" s="52">
        <f>F10+F11+F12+F14</f>
        <v>1.4271438313625924</v>
      </c>
      <c r="G16" s="53" t="s">
        <v>2</v>
      </c>
      <c r="H16" s="13"/>
      <c r="I16" s="13"/>
      <c r="J16" s="15"/>
      <c r="O16" s="15"/>
      <c r="P16" s="15"/>
      <c r="Q16" s="15"/>
      <c r="R16" s="15"/>
      <c r="S16" s="15"/>
      <c r="T16" s="15"/>
    </row>
    <row r="17" spans="1:20" x14ac:dyDescent="0.25">
      <c r="A17" s="21" t="s">
        <v>10</v>
      </c>
      <c r="B17" s="12">
        <f>IF(B9&lt;1.5,0.35,IF(B9&lt;2,0.4,IF(B9&lt;2.5,0.53,IF(B9&lt;3,0.55,IF(B9&lt;3.5,0.58,0.62)))))</f>
        <v>0.55000000000000004</v>
      </c>
      <c r="C17" s="13" t="s">
        <v>1</v>
      </c>
      <c r="D17" s="13"/>
      <c r="E17" s="22"/>
      <c r="F17" s="23"/>
      <c r="G17" s="24"/>
      <c r="H17" s="108"/>
      <c r="I17" s="108"/>
      <c r="J17" s="15"/>
      <c r="O17" s="15"/>
      <c r="P17" s="15"/>
      <c r="Q17" s="15"/>
      <c r="R17" s="15"/>
      <c r="S17" s="15"/>
      <c r="T17" s="15"/>
    </row>
    <row r="18" spans="1:20" x14ac:dyDescent="0.25">
      <c r="A18" s="21" t="s">
        <v>42</v>
      </c>
      <c r="B18" s="12"/>
      <c r="C18" s="13"/>
      <c r="D18" s="13"/>
      <c r="E18" s="99" t="s">
        <v>43</v>
      </c>
      <c r="F18" s="100"/>
      <c r="G18" s="101"/>
      <c r="H18" s="108"/>
      <c r="I18" s="108"/>
      <c r="J18" s="15"/>
      <c r="O18" s="15"/>
      <c r="P18" s="15"/>
      <c r="Q18" s="15"/>
      <c r="R18" s="15"/>
      <c r="S18" s="15"/>
      <c r="T18" s="15"/>
    </row>
    <row r="19" spans="1:20" x14ac:dyDescent="0.25">
      <c r="A19" s="44" t="s">
        <v>12</v>
      </c>
      <c r="B19" s="49">
        <v>1.4E-2</v>
      </c>
      <c r="C19" s="46" t="s">
        <v>3</v>
      </c>
      <c r="D19" s="13"/>
      <c r="E19" s="43"/>
      <c r="F19" s="25">
        <f>F9+(IF(B5&gt;7.5,B9,B9+0.05)*3.3)+F13+F16</f>
        <v>11.441574200368507</v>
      </c>
      <c r="G19" s="26" t="s">
        <v>2</v>
      </c>
      <c r="H19" s="109"/>
      <c r="I19" s="109"/>
      <c r="J19" s="15"/>
      <c r="O19" s="15"/>
      <c r="P19" s="15"/>
      <c r="Q19" s="15"/>
      <c r="R19" s="15"/>
      <c r="S19" s="15"/>
      <c r="T19" s="15"/>
    </row>
    <row r="20" spans="1:20" x14ac:dyDescent="0.25">
      <c r="A20" s="44" t="s">
        <v>29</v>
      </c>
      <c r="B20" s="49">
        <v>2.5000000000000001E-2</v>
      </c>
      <c r="C20" s="46" t="s">
        <v>3</v>
      </c>
      <c r="D20" s="13"/>
      <c r="E20" s="22"/>
      <c r="F20" s="23"/>
      <c r="G20" s="24"/>
      <c r="H20" s="109"/>
      <c r="I20" s="109"/>
      <c r="J20" s="15"/>
      <c r="O20" s="15"/>
      <c r="P20" s="15"/>
      <c r="Q20" s="15"/>
      <c r="R20" s="15"/>
      <c r="S20" s="15"/>
      <c r="T20" s="15"/>
    </row>
    <row r="21" spans="1:20" x14ac:dyDescent="0.25">
      <c r="A21" s="15"/>
      <c r="B21" s="16"/>
      <c r="C21" s="15"/>
      <c r="D21" s="15"/>
      <c r="E21" s="15"/>
      <c r="F21" s="17"/>
      <c r="G21" s="15"/>
      <c r="H21" s="15"/>
      <c r="I21" s="15"/>
      <c r="J21" s="15"/>
      <c r="O21" s="15"/>
      <c r="P21" s="15"/>
      <c r="Q21" s="15"/>
      <c r="R21" s="15"/>
      <c r="S21" s="15"/>
      <c r="T21" s="15"/>
    </row>
    <row r="22" spans="1:20" x14ac:dyDescent="0.25">
      <c r="A22" s="15"/>
      <c r="B22" s="16"/>
      <c r="C22" s="15"/>
      <c r="D22" s="15"/>
      <c r="E22" s="15"/>
      <c r="F22" s="17"/>
      <c r="G22" s="15"/>
      <c r="H22" s="15"/>
      <c r="I22" s="15"/>
      <c r="J22" s="15"/>
      <c r="O22" s="15"/>
      <c r="P22" s="15"/>
      <c r="Q22" s="15"/>
      <c r="R22" s="15"/>
      <c r="S22" s="15"/>
      <c r="T22" s="15"/>
    </row>
    <row r="23" spans="1:20" x14ac:dyDescent="0.25">
      <c r="A23" s="102" t="s">
        <v>49</v>
      </c>
      <c r="B23" s="102"/>
      <c r="C23" s="102"/>
      <c r="D23" s="102"/>
      <c r="E23" s="102"/>
      <c r="F23" s="102"/>
      <c r="G23" s="102"/>
      <c r="H23" s="20"/>
      <c r="I23" s="20"/>
      <c r="J23" s="18"/>
      <c r="K23" s="15"/>
      <c r="L23" s="15"/>
      <c r="M23" s="15"/>
      <c r="N23" s="19"/>
      <c r="O23" s="15"/>
      <c r="P23" s="18"/>
      <c r="Q23" s="15"/>
      <c r="R23" s="15"/>
      <c r="S23" s="15"/>
      <c r="T23" s="15"/>
    </row>
    <row r="24" spans="1:20" ht="15.75" thickBot="1" x14ac:dyDescent="0.3">
      <c r="A24" s="54" t="s">
        <v>17</v>
      </c>
      <c r="B24" s="55">
        <v>3.3</v>
      </c>
      <c r="C24" s="56" t="s">
        <v>1</v>
      </c>
      <c r="D24" s="57"/>
      <c r="E24" s="58" t="s">
        <v>4</v>
      </c>
      <c r="F24" s="59">
        <f>(5-B24+B32)/(5+B32-(B25*(B27+F26)))</f>
        <v>0.40237894282293374</v>
      </c>
      <c r="G24" s="57"/>
      <c r="H24" s="57"/>
      <c r="I24" s="57"/>
      <c r="J24" s="18"/>
      <c r="K24" s="15"/>
      <c r="L24" s="15"/>
      <c r="N24" s="15"/>
      <c r="O24" s="19"/>
      <c r="P24" s="15"/>
      <c r="Q24" s="15"/>
      <c r="R24" s="15"/>
      <c r="S24" s="15"/>
      <c r="T24" s="15"/>
    </row>
    <row r="25" spans="1:20" ht="15.75" thickBot="1" x14ac:dyDescent="0.3">
      <c r="A25" s="58" t="s">
        <v>34</v>
      </c>
      <c r="B25" s="61">
        <v>0.3</v>
      </c>
      <c r="C25" s="62" t="s">
        <v>3</v>
      </c>
      <c r="D25" s="57"/>
      <c r="E25" s="63" t="s">
        <v>30</v>
      </c>
      <c r="F25" s="93">
        <v>4.7</v>
      </c>
      <c r="G25" s="64" t="s">
        <v>31</v>
      </c>
      <c r="H25" s="60"/>
      <c r="I25" s="57"/>
      <c r="K25" s="35"/>
      <c r="L25" s="15"/>
      <c r="M25" s="36"/>
      <c r="N25" s="33"/>
      <c r="O25" s="34"/>
      <c r="P25" s="36"/>
      <c r="R25" s="33"/>
      <c r="S25" s="15"/>
      <c r="T25" s="15"/>
    </row>
    <row r="26" spans="1:20" ht="15.75" thickBot="1" x14ac:dyDescent="0.3">
      <c r="A26" s="58"/>
      <c r="B26" s="78"/>
      <c r="C26" s="57"/>
      <c r="D26" s="57"/>
      <c r="E26" s="66" t="s">
        <v>18</v>
      </c>
      <c r="F26" s="61">
        <v>0.217</v>
      </c>
      <c r="G26" s="67" t="s">
        <v>11</v>
      </c>
      <c r="H26" s="65"/>
      <c r="I26" s="65"/>
      <c r="K26" s="35"/>
      <c r="M26" s="36"/>
      <c r="N26" s="33"/>
      <c r="O26" s="34"/>
      <c r="P26" s="36"/>
      <c r="R26" s="33"/>
      <c r="S26" s="17"/>
      <c r="T26" s="15"/>
    </row>
    <row r="27" spans="1:20" x14ac:dyDescent="0.25">
      <c r="A27" s="68" t="s">
        <v>19</v>
      </c>
      <c r="B27" s="69">
        <f>0.634/1</f>
        <v>0.63400000000000001</v>
      </c>
      <c r="C27" s="70" t="s">
        <v>11</v>
      </c>
      <c r="D27" s="75"/>
      <c r="E27" s="58" t="s">
        <v>8</v>
      </c>
      <c r="F27" s="74">
        <f>IF(B5&gt;18.9,1000,2300)</f>
        <v>2300</v>
      </c>
      <c r="G27" s="57" t="s">
        <v>26</v>
      </c>
      <c r="H27" s="97" t="s">
        <v>46</v>
      </c>
      <c r="I27" s="97"/>
      <c r="K27" s="35"/>
      <c r="L27" s="15"/>
      <c r="M27" s="36"/>
      <c r="N27" s="33"/>
      <c r="O27" s="34"/>
      <c r="P27" s="36"/>
      <c r="R27" s="33"/>
      <c r="S27" s="15"/>
      <c r="T27" s="15"/>
    </row>
    <row r="28" spans="1:20" x14ac:dyDescent="0.25">
      <c r="A28" s="68" t="s">
        <v>6</v>
      </c>
      <c r="B28" s="69">
        <v>5</v>
      </c>
      <c r="C28" s="70" t="s">
        <v>27</v>
      </c>
      <c r="D28" s="57"/>
      <c r="E28" s="58" t="s">
        <v>28</v>
      </c>
      <c r="F28" s="59">
        <f>H31^2*F26</f>
        <v>1.9756442582957223E-2</v>
      </c>
      <c r="G28" s="57" t="s">
        <v>2</v>
      </c>
      <c r="H28" s="96">
        <f>(B24-B25*(B27+F26))*(5+B32-B24)/(5+B32-B25*B27)/(0.000001*F25*1000*F27)</f>
        <v>0.11190250437820395</v>
      </c>
      <c r="I28" s="96"/>
      <c r="K28" s="35"/>
      <c r="L28" s="15"/>
      <c r="M28" s="36"/>
      <c r="N28" s="33"/>
      <c r="O28" s="34"/>
      <c r="P28" s="36"/>
      <c r="R28" s="33"/>
      <c r="S28" s="15"/>
      <c r="T28" s="15"/>
    </row>
    <row r="29" spans="1:20" x14ac:dyDescent="0.25">
      <c r="A29" s="68" t="s">
        <v>7</v>
      </c>
      <c r="B29" s="69">
        <v>2</v>
      </c>
      <c r="C29" s="70" t="s">
        <v>27</v>
      </c>
      <c r="D29" s="57"/>
      <c r="E29" s="71" t="s">
        <v>14</v>
      </c>
      <c r="F29" s="72">
        <f>(F24*SQRT(B25^2+H28^2/12)^2*B27)</f>
        <v>2.3225951560458293E-2</v>
      </c>
      <c r="G29" s="73" t="s">
        <v>2</v>
      </c>
      <c r="H29" s="75"/>
      <c r="I29" s="75"/>
      <c r="K29" s="35"/>
      <c r="L29" s="15"/>
      <c r="M29" s="36"/>
      <c r="N29" s="33"/>
      <c r="O29" s="34"/>
      <c r="P29" s="36"/>
      <c r="R29" s="33"/>
      <c r="S29" s="32"/>
      <c r="T29" s="15"/>
    </row>
    <row r="30" spans="1:20" x14ac:dyDescent="0.25">
      <c r="A30" s="75"/>
      <c r="B30" s="78"/>
      <c r="C30" s="75"/>
      <c r="D30" s="57"/>
      <c r="E30" s="71" t="s">
        <v>13</v>
      </c>
      <c r="F30" s="72">
        <f>0.5*B24*B25*((B28+B29)*0.000000001)*(F27*1000)</f>
        <v>7.9694999999999992E-3</v>
      </c>
      <c r="G30" s="73" t="s">
        <v>2</v>
      </c>
      <c r="H30" s="95" t="s">
        <v>33</v>
      </c>
      <c r="I30" s="95"/>
      <c r="K30" s="35"/>
      <c r="L30" s="15"/>
      <c r="M30" s="36"/>
      <c r="N30" s="33"/>
      <c r="O30" s="34"/>
      <c r="P30" s="36"/>
      <c r="R30" s="33"/>
      <c r="S30" s="15"/>
      <c r="T30" s="15"/>
    </row>
    <row r="31" spans="1:20" ht="15.75" thickBot="1" x14ac:dyDescent="0.3">
      <c r="A31" s="71" t="s">
        <v>9</v>
      </c>
      <c r="B31" s="76">
        <v>4.0000000000000001E-3</v>
      </c>
      <c r="C31" s="73" t="s">
        <v>3</v>
      </c>
      <c r="D31" s="75"/>
      <c r="E31" s="71" t="s">
        <v>15</v>
      </c>
      <c r="F31" s="72">
        <f>B24*B31</f>
        <v>1.32E-2</v>
      </c>
      <c r="G31" s="73" t="s">
        <v>2</v>
      </c>
      <c r="H31" s="96">
        <f>SQRT(B25^2+H28^2/12)</f>
        <v>0.30173417805607661</v>
      </c>
      <c r="I31" s="96"/>
      <c r="K31" s="35"/>
      <c r="L31" s="33"/>
      <c r="M31" s="36"/>
      <c r="N31" s="33"/>
      <c r="O31" s="34"/>
      <c r="P31" s="36"/>
      <c r="R31" s="33"/>
      <c r="S31" s="15"/>
      <c r="T31" s="15"/>
    </row>
    <row r="32" spans="1:20" ht="15.75" thickBot="1" x14ac:dyDescent="0.3">
      <c r="A32" s="58" t="s">
        <v>10</v>
      </c>
      <c r="B32" s="77">
        <v>0.35</v>
      </c>
      <c r="C32" s="62" t="s">
        <v>1</v>
      </c>
      <c r="D32" s="57"/>
      <c r="E32" s="58" t="s">
        <v>16</v>
      </c>
      <c r="F32" s="59">
        <f>(1-F24)*B32*B25</f>
        <v>6.275021100359196E-2</v>
      </c>
      <c r="G32" s="57" t="s">
        <v>2</v>
      </c>
      <c r="H32" s="57"/>
      <c r="I32" s="57"/>
      <c r="J32" s="15"/>
      <c r="K32" s="15"/>
      <c r="L32" s="18"/>
      <c r="M32" s="15"/>
      <c r="N32" s="15"/>
      <c r="P32" s="15"/>
      <c r="Q32" s="15"/>
      <c r="R32" s="15"/>
      <c r="S32" s="15"/>
      <c r="T32" s="15"/>
    </row>
    <row r="33" spans="1:20" x14ac:dyDescent="0.25">
      <c r="A33" s="75"/>
      <c r="B33" s="78"/>
      <c r="C33" s="75"/>
      <c r="D33" s="57"/>
      <c r="E33" s="71" t="s">
        <v>35</v>
      </c>
      <c r="F33" s="72">
        <f>F30+F29</f>
        <v>3.119545156045829E-2</v>
      </c>
      <c r="G33" s="73" t="s">
        <v>2</v>
      </c>
      <c r="H33" s="95" t="s">
        <v>32</v>
      </c>
      <c r="I33" s="95"/>
      <c r="J33" s="15"/>
      <c r="K33" s="15"/>
      <c r="L33" s="18"/>
      <c r="M33" s="15"/>
      <c r="N33" s="15"/>
      <c r="P33" s="15"/>
      <c r="Q33" s="15"/>
      <c r="R33" s="15"/>
      <c r="S33" s="15"/>
      <c r="T33" s="15"/>
    </row>
    <row r="34" spans="1:20" x14ac:dyDescent="0.25">
      <c r="A34" s="75"/>
      <c r="B34" s="78"/>
      <c r="C34" s="75"/>
      <c r="D34" s="57"/>
      <c r="E34" s="79" t="s">
        <v>38</v>
      </c>
      <c r="F34" s="80">
        <f>F33+F31</f>
        <v>4.4395451560458293E-2</v>
      </c>
      <c r="G34" s="81" t="s">
        <v>2</v>
      </c>
      <c r="H34" s="96">
        <f>B25+H28/2</f>
        <v>0.35595125218910195</v>
      </c>
      <c r="I34" s="96"/>
      <c r="J34" s="15"/>
      <c r="K34" s="15"/>
      <c r="L34" s="19"/>
      <c r="M34" s="15"/>
      <c r="N34" s="15"/>
      <c r="O34" s="15"/>
      <c r="P34" s="15"/>
      <c r="Q34" s="15"/>
      <c r="R34" s="15"/>
      <c r="S34" s="15"/>
      <c r="T34" s="15"/>
    </row>
    <row r="35" spans="1:20" x14ac:dyDescent="0.25">
      <c r="A35" s="75"/>
      <c r="B35" s="78"/>
      <c r="C35" s="75"/>
      <c r="D35" s="57"/>
      <c r="E35" s="58" t="s">
        <v>50</v>
      </c>
      <c r="F35" s="59">
        <f>(5*B25)+F34+F32+F28</f>
        <v>1.6269021051470076</v>
      </c>
      <c r="G35" s="57" t="s">
        <v>2</v>
      </c>
      <c r="H35" s="57"/>
      <c r="I35" s="57"/>
      <c r="J35" s="15"/>
      <c r="O35" s="15"/>
      <c r="P35" s="15"/>
      <c r="Q35" s="15"/>
      <c r="R35" s="15"/>
      <c r="S35" s="15"/>
      <c r="T35" s="15"/>
    </row>
    <row r="36" spans="1:20" x14ac:dyDescent="0.25">
      <c r="A36" s="28"/>
      <c r="B36" s="30"/>
      <c r="C36" s="29"/>
      <c r="D36" s="29"/>
      <c r="H36" s="29"/>
      <c r="I36" s="29"/>
      <c r="J36" s="15"/>
      <c r="K36" s="15"/>
      <c r="L36" s="6"/>
      <c r="O36" s="15"/>
      <c r="P36" s="18"/>
      <c r="Q36" s="15"/>
      <c r="R36" s="15"/>
      <c r="S36" s="15"/>
      <c r="T36" s="15"/>
    </row>
    <row r="37" spans="1:20" x14ac:dyDescent="0.25">
      <c r="A37" s="28"/>
      <c r="B37" s="30"/>
      <c r="C37" s="29"/>
      <c r="D37" s="29"/>
      <c r="H37" s="29"/>
      <c r="I37" s="29"/>
      <c r="J37" s="15"/>
      <c r="K37" s="15"/>
      <c r="L37" s="18"/>
      <c r="M37" s="15"/>
      <c r="N37" s="15"/>
      <c r="O37" s="15"/>
      <c r="P37" s="18"/>
      <c r="Q37" s="15"/>
      <c r="R37" s="15"/>
      <c r="S37" s="15"/>
      <c r="T37" s="15"/>
    </row>
    <row r="38" spans="1:20" x14ac:dyDescent="0.25">
      <c r="A38" s="15"/>
      <c r="B38" s="16"/>
      <c r="C38" s="15"/>
      <c r="D38" s="15"/>
      <c r="E38" s="15"/>
      <c r="F38" s="17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</row>
  </sheetData>
  <sheetProtection algorithmName="SHA-512" hashValue="Ft3nQ/n3oEHoag2px+ZYpqruiuwWu83IvU5gtyDUREIYT4so602HpgvTkzVo3nc6fDZNcdqzYlqijVyDhhKMAA==" saltValue="odVKOg0fjmadHlI5UNDv7w==" spinCount="100000" sheet="1" objects="1" scenarios="1" selectLockedCells="1"/>
  <mergeCells count="26">
    <mergeCell ref="E18:G18"/>
    <mergeCell ref="H18:I18"/>
    <mergeCell ref="H19:I19"/>
    <mergeCell ref="H33:I33"/>
    <mergeCell ref="H34:I34"/>
    <mergeCell ref="A23:G23"/>
    <mergeCell ref="H27:I27"/>
    <mergeCell ref="H28:I28"/>
    <mergeCell ref="H30:I30"/>
    <mergeCell ref="H31:I31"/>
    <mergeCell ref="H20:I20"/>
    <mergeCell ref="H10:I10"/>
    <mergeCell ref="H11:I11"/>
    <mergeCell ref="H13:I13"/>
    <mergeCell ref="E15:G15"/>
    <mergeCell ref="H17:I17"/>
    <mergeCell ref="H14:I14"/>
    <mergeCell ref="L1:M1"/>
    <mergeCell ref="O1:P1"/>
    <mergeCell ref="O2:P2"/>
    <mergeCell ref="A8:C8"/>
    <mergeCell ref="H8:I8"/>
    <mergeCell ref="H1:I1"/>
    <mergeCell ref="H2:I2"/>
    <mergeCell ref="H3:I3"/>
    <mergeCell ref="H7:I7"/>
  </mergeCells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Visio.Drawing.11" shapeId="9238" r:id="rId4">
          <objectPr defaultSize="0" r:id="rId5">
            <anchor moveWithCells="1">
              <from>
                <xdr:col>10</xdr:col>
                <xdr:colOff>9525</xdr:colOff>
                <xdr:row>3</xdr:row>
                <xdr:rowOff>9525</xdr:rowOff>
              </from>
              <to>
                <xdr:col>14</xdr:col>
                <xdr:colOff>457200</xdr:colOff>
                <xdr:row>14</xdr:row>
                <xdr:rowOff>9525</xdr:rowOff>
              </to>
            </anchor>
          </objectPr>
        </oleObject>
      </mc:Choice>
      <mc:Fallback>
        <oleObject progId="Visio.Drawing.11" shapeId="9238" r:id="rId4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8" r:id="rId6" name="Check Box 2">
              <controlPr defaultSize="0" autoFill="0" autoLine="0" autoPict="0">
                <anchor moveWithCells="1">
                  <from>
                    <xdr:col>0</xdr:col>
                    <xdr:colOff>9525</xdr:colOff>
                    <xdr:row>125</xdr:row>
                    <xdr:rowOff>0</xdr:rowOff>
                  </from>
                  <to>
                    <xdr:col>0</xdr:col>
                    <xdr:colOff>219075</xdr:colOff>
                    <xdr:row>126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7" name="Check Box 3">
              <controlPr defaultSize="0" autoFill="0" autoLine="0" autoPict="0">
                <anchor moveWithCells="1">
                  <from>
                    <xdr:col>0</xdr:col>
                    <xdr:colOff>0</xdr:colOff>
                    <xdr:row>125</xdr:row>
                    <xdr:rowOff>0</xdr:rowOff>
                  </from>
                  <to>
                    <xdr:col>0</xdr:col>
                    <xdr:colOff>219075</xdr:colOff>
                    <xdr:row>126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NCV97200 Worst case</vt:lpstr>
      <vt:lpstr>NCV97200 Typical</vt:lpstr>
    </vt:vector>
  </TitlesOfParts>
  <Company>ON Semiconductor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Majeika</dc:creator>
  <cp:keywords>Automotive</cp:keywords>
  <cp:lastModifiedBy>tcwd4f</cp:lastModifiedBy>
  <dcterms:created xsi:type="dcterms:W3CDTF">2014-10-28T17:40:23Z</dcterms:created>
  <dcterms:modified xsi:type="dcterms:W3CDTF">2019-05-21T20:08:14Z</dcterms:modified>
</cp:coreProperties>
</file>